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0" windowHeight="7155" tabRatio="846" activeTab="1"/>
  </bookViews>
  <sheets>
    <sheet name="Methodology" sheetId="1" r:id="rId1"/>
    <sheet name="Summary Sheet" sheetId="2" r:id="rId2"/>
    <sheet name="Key Data" sheetId="3" r:id="rId3"/>
    <sheet name=" City Side Phase 1" sheetId="4" r:id="rId4"/>
    <sheet name="Blenheim Court" sheetId="5" r:id="rId5"/>
    <sheet name="Central Living Village " sheetId="6" r:id="rId6"/>
    <sheet name="St Marks Residence" sheetId="7" r:id="rId7"/>
    <sheet name="Woodhouse Street" sheetId="8" r:id="rId8"/>
    <sheet name="Servia Road" sheetId="9" r:id="rId9"/>
    <sheet name="+Cavendish Street" sheetId="10" r:id="rId10"/>
    <sheet name="City Side Phase 2" sheetId="11" r:id="rId11"/>
    <sheet name="5 Burley Road (Opal 2)" sheetId="12" r:id="rId12"/>
    <sheet name="City Side Phase 3" sheetId="13" r:id="rId13"/>
    <sheet name="Broadcasting Place" sheetId="14" r:id="rId14"/>
    <sheet name="The Plaza Clay Pit Lane" sheetId="15" r:id="rId15"/>
    <sheet name="6 Bingley Street" sheetId="16" r:id="rId16"/>
    <sheet name="1 - 3 Burley Road (Opal 1)" sheetId="17" r:id="rId17"/>
  </sheets>
  <definedNames>
    <definedName name="_xlfn.IFERROR" hidden="1">#NAME?</definedName>
    <definedName name="_xlnm.Print_Area" localSheetId="16">'1 - 3 Burley Road (Opal 1)'!$A$1:$L$39</definedName>
    <definedName name="_xlnm.Print_Area" localSheetId="15">'6 Bingley Street'!$A$1:$Y$44</definedName>
  </definedNames>
  <calcPr fullCalcOnLoad="1"/>
</workbook>
</file>

<file path=xl/comments2.xml><?xml version="1.0" encoding="utf-8"?>
<comments xmlns="http://schemas.openxmlformats.org/spreadsheetml/2006/main">
  <authors>
    <author>Sharma, Anup</author>
  </authors>
  <commentList>
    <comment ref="C6" authorId="0">
      <text>
        <r>
          <rPr>
            <b/>
            <sz val="9"/>
            <rFont val="Tahoma"/>
            <family val="2"/>
          </rPr>
          <t>Sheet Note:</t>
        </r>
        <r>
          <rPr>
            <sz val="9"/>
            <rFont val="Tahoma"/>
            <family val="2"/>
          </rPr>
          <t xml:space="preserve">
This refers to the area within the development that is communal to all residents. This is normally found on the ground floor and includes Gyms, Cinema, Social Area, Study Area etc. On the Spread sheet it is found in each Development 'Tab' (e.g. 'City Side') and is in the Top left.
On the 'City Side' Tab this is found in Cell B3 and =260.5.
</t>
        </r>
      </text>
    </comment>
    <comment ref="E6" authorId="0">
      <text>
        <r>
          <rPr>
            <b/>
            <sz val="9"/>
            <rFont val="Tahoma"/>
            <family val="2"/>
          </rPr>
          <t>Sheet Note:</t>
        </r>
        <r>
          <rPr>
            <sz val="9"/>
            <rFont val="Tahoma"/>
            <family val="2"/>
          </rPr>
          <t xml:space="preserve">
These are 'Tolerances' and are directly related to 4 Cells in the 'Average' column. They allow you set a tolerance for an average return.
So if you wanted to see the average General Communal Area including ONLY sites greater than 99 sqm you would set this to 99. It will then change the relevant cell in the 'Average' column to reflect this.
If you want to discount all those with a zero value then set it to a value of 1 or any value under the lowest of the General Communal Areas.
The default to return all values should be set at -1.
</t>
        </r>
      </text>
    </comment>
    <comment ref="T6" authorId="0">
      <text>
        <r>
          <rPr>
            <b/>
            <sz val="9"/>
            <rFont val="Tahoma"/>
            <family val="2"/>
          </rPr>
          <t>Sheet Note:</t>
        </r>
        <r>
          <rPr>
            <sz val="9"/>
            <rFont val="Tahoma"/>
            <family val="2"/>
          </rPr>
          <t xml:space="preserve">
This Cell returns an average for the General Communal Area. It adds all the cells up in the General Communal Area row then divides them by the number that are being counted.
It is currently set to include all of them. This can be changed by setting the tolerances at the beginning of the Row. Please note this is not a number to change to lower or raise the number being counted. The tolerance cell sets a condition to filter. Please see comment in the tolerance cell.</t>
        </r>
      </text>
    </comment>
    <comment ref="U6" authorId="0">
      <text>
        <r>
          <rPr>
            <b/>
            <sz val="9"/>
            <rFont val="Tahoma"/>
            <family val="2"/>
          </rPr>
          <t>Sheet Note:</t>
        </r>
        <r>
          <rPr>
            <sz val="9"/>
            <rFont val="Tahoma"/>
            <family val="2"/>
          </rPr>
          <t xml:space="preserve">
This cell returns a SUM of the General Communal Area. As the total area of the General Communal areas is somewhat meaningless it is not affected by any tolerances set.</t>
        </r>
      </text>
    </comment>
    <comment ref="C7" authorId="0">
      <text>
        <r>
          <rPr>
            <b/>
            <sz val="9"/>
            <rFont val="Tahoma"/>
            <family val="2"/>
          </rPr>
          <t>Sheet Note:</t>
        </r>
        <r>
          <rPr>
            <sz val="9"/>
            <rFont val="Tahoma"/>
            <family val="2"/>
          </rPr>
          <t xml:space="preserve">
These Cells measure the Shared Internal Area (Kitchen / Dining / Living Space) within a cluster flat. This is the value of the Communal Areas that are not for everyone in the block and area usually particular to each cluster. 
In general this is the Kitchen / Living Area for each cluster.
So if there were 3 blocks with 20 cluster flats in each, and each cluster flat had 40 sqm of of Kitchen/Living area then the value would be 3x20x40=2400sqm.
</t>
        </r>
      </text>
    </comment>
    <comment ref="E7" authorId="0">
      <text>
        <r>
          <rPr>
            <b/>
            <sz val="9"/>
            <rFont val="Tahoma"/>
            <family val="2"/>
          </rPr>
          <t>Sheet Note:</t>
        </r>
        <r>
          <rPr>
            <sz val="9"/>
            <rFont val="Tahoma"/>
            <family val="2"/>
          </rPr>
          <t xml:space="preserve">
These are 'Tolerances' and are directly related to 4 Cells in the 'Average' column. They allow you set a tolerance for an average return.
So if you wanted to see the average Local Communal Area including ONLY sites greater than 1000 sqm you would set this to 1000. It will then change the appropriate cell in the 'Average' column to reflect this.
If you want to discount all those with a zero value then set it to a value of 1 or any value under the lowest of the General Communal Areas.
The default to return all values should be set at -1.</t>
        </r>
      </text>
    </comment>
    <comment ref="T7" authorId="0">
      <text>
        <r>
          <rPr>
            <b/>
            <sz val="9"/>
            <rFont val="Tahoma"/>
            <family val="2"/>
          </rPr>
          <t>Sheet Note:</t>
        </r>
        <r>
          <rPr>
            <sz val="9"/>
            <rFont val="Tahoma"/>
            <family val="2"/>
          </rPr>
          <t xml:space="preserve">
This Cell returns an average for the Local Communal Area. It adds all the cells up in the 'Local Communal Area' and then divides them by the number you are counting.
It is currently set to include all of them. This can be changed by setting the tolerance in the 'Tolerance' column. Please note this is not a number to change to lower or raise the number being counted. The tolerance cell sets a condition to filter out depending on a tolerance. Please see comment in the tolerance cell.</t>
        </r>
      </text>
    </comment>
    <comment ref="U7" authorId="0">
      <text>
        <r>
          <rPr>
            <b/>
            <sz val="9"/>
            <rFont val="Tahoma"/>
            <family val="2"/>
          </rPr>
          <t>Sheet Note:</t>
        </r>
        <r>
          <rPr>
            <sz val="9"/>
            <rFont val="Tahoma"/>
            <family val="2"/>
          </rPr>
          <t xml:space="preserve">
This cell returns a Sum of the Local Communal Area. As the total area of the  Local Communal areas is somewhat meaningless it is not affected by any tolerances set.</t>
        </r>
      </text>
    </comment>
    <comment ref="C8" authorId="0">
      <text>
        <r>
          <rPr>
            <b/>
            <sz val="9"/>
            <rFont val="Tahoma"/>
            <family val="2"/>
          </rPr>
          <t>Sheet Note:</t>
        </r>
        <r>
          <rPr>
            <sz val="9"/>
            <rFont val="Tahoma"/>
            <family val="2"/>
          </rPr>
          <t xml:space="preserve">
This figure represents the total of the General Communal Area and the Local Communal Area. </t>
        </r>
      </text>
    </comment>
    <comment ref="C10" authorId="0">
      <text>
        <r>
          <rPr>
            <b/>
            <sz val="9"/>
            <rFont val="Tahoma"/>
            <family val="2"/>
          </rPr>
          <t>Sheet Note:</t>
        </r>
        <r>
          <rPr>
            <sz val="9"/>
            <rFont val="Tahoma"/>
            <family val="2"/>
          </rPr>
          <t xml:space="preserve">
This cell returns the number of bedroom in each development discounting Accessible Bedrooms and including studio falts.
It should be noted that the accessible bedrooms are only discounted if they are marked as such on the plans. The size of the bedroom is NOT a factor. </t>
        </r>
      </text>
    </comment>
    <comment ref="E10" authorId="0">
      <text>
        <r>
          <rPr>
            <b/>
            <sz val="9"/>
            <rFont val="Tahoma"/>
            <family val="2"/>
          </rPr>
          <t>Sheet Note:</t>
        </r>
        <r>
          <rPr>
            <sz val="9"/>
            <rFont val="Tahoma"/>
            <family val="2"/>
          </rPr>
          <t xml:space="preserve">
These are 'Tolerances' and are directly related to 4 Cells in the 'Average' column. They allow you set a tolerance for an average return.
So if you wanted to see the average Number of Bedrooms including ONLY sites with more than 100 bedrooms you would set this to 1000. It will then change cell the associated average cell  to reflect this.
If you want to discount all those with a zero value then set it to a value of 1 or any value under the lowest number of bedrooms.
The default to return all values should be set at -1</t>
        </r>
      </text>
    </comment>
    <comment ref="U10" authorId="0">
      <text>
        <r>
          <rPr>
            <b/>
            <sz val="9"/>
            <rFont val="Tahoma"/>
            <family val="2"/>
          </rPr>
          <t>Sheet Note:</t>
        </r>
        <r>
          <rPr>
            <sz val="9"/>
            <rFont val="Tahoma"/>
            <family val="2"/>
          </rPr>
          <t xml:space="preserve">
This cell returns the total number of bedrooms (discounting declared accessible bedrooms) that have been measured.</t>
        </r>
      </text>
    </comment>
    <comment ref="T10" authorId="0">
      <text>
        <r>
          <rPr>
            <b/>
            <sz val="9"/>
            <rFont val="Tahoma"/>
            <family val="2"/>
          </rPr>
          <t>Sheet Note:</t>
        </r>
        <r>
          <rPr>
            <sz val="9"/>
            <rFont val="Tahoma"/>
            <family val="2"/>
          </rPr>
          <t xml:space="preserve">
This Cell returns an average for the Number of Bedrooms (not counting acessible bedrooms). It adds all the cells up in the row 'Number of Bedrooms (not Accessible')'and then divides them by the number you are counting.
It is currently set to include all of them. This can be changed by setting the tolerance in Tolerance section. Please note this is not a number to change to lower or raise the number being counted. The tolerance cell sets a condition to filter out depending on a tolerance. Please see comment on Tolerances.</t>
        </r>
      </text>
    </comment>
    <comment ref="C11" authorId="0">
      <text>
        <r>
          <rPr>
            <b/>
            <sz val="9"/>
            <rFont val="Tahoma"/>
            <family val="2"/>
          </rPr>
          <t>Sheet Note:</t>
        </r>
        <r>
          <rPr>
            <sz val="9"/>
            <rFont val="Tahoma"/>
            <family val="2"/>
          </rPr>
          <t xml:space="preserve">
This returns a figure that is the totol area of bedroom (not counting accessible bedrooms) per development. </t>
        </r>
      </text>
    </comment>
    <comment ref="E11" authorId="0">
      <text>
        <r>
          <rPr>
            <b/>
            <sz val="9"/>
            <rFont val="Tahoma"/>
            <family val="2"/>
          </rPr>
          <t>Sharma, Anup:</t>
        </r>
        <r>
          <rPr>
            <sz val="9"/>
            <rFont val="Tahoma"/>
            <family val="2"/>
          </rPr>
          <t xml:space="preserve">
These are 'Tolerances' abd are directly related to 4 Cells in the 'Average' column. They allow you set a tolerance for an average return.
So if you wanted to see the average Area of the Bedrooms including ONLY sites with more than have a total bedroom area coverage greater than 2000sqm you would set this to 2000. It will then change the avreage return cell  to reflect this.
If you want to discount all those with a zero value then set it to a value of 1 or any value under the lowest number of bedrooms.
The default to return all values should be set at -1</t>
        </r>
      </text>
    </comment>
    <comment ref="C12" authorId="0">
      <text>
        <r>
          <rPr>
            <b/>
            <sz val="9"/>
            <rFont val="Tahoma"/>
            <family val="2"/>
          </rPr>
          <t>Sharma, Anup:</t>
        </r>
        <r>
          <rPr>
            <sz val="9"/>
            <rFont val="Tahoma"/>
            <family val="2"/>
          </rPr>
          <t xml:space="preserve">
This cell returns the average area per bedroom per development (not including accessible bedrooms)
It is derived from dividing the total area of bedrooms by the number of bedrooms.
It should be noted that the number displayed is returned from the sheet of the PBSA and NOT derived from the Summary. So the result is from 'City Side Phase 1' associated table and NOT a division of the 'Summary Sheet' data in rows 9 and 10. The results are identical.
</t>
        </r>
      </text>
    </comment>
    <comment ref="T11" authorId="0">
      <text>
        <r>
          <rPr>
            <b/>
            <sz val="9"/>
            <rFont val="Tahoma"/>
            <family val="2"/>
          </rPr>
          <t>Sheet Note:</t>
        </r>
        <r>
          <rPr>
            <sz val="9"/>
            <rFont val="Tahoma"/>
            <family val="2"/>
          </rPr>
          <t xml:space="preserve">
This Cell returns an average for the Area of Bedrooms (not counting acessible bedrooms). It adds all the cells up in the 'Total Area of Bedroom'  and then divides them by the number you are counting.
It is currently set to include all of them. This can be changed by setting the tolerance in in the Tolerances column. Please note this is not a number to change to lower or raise the number being counted. The Tolerance cell sets a condition to filter out depending on a tolerance. Please see comment on Tolerance.</t>
        </r>
      </text>
    </comment>
    <comment ref="T12" authorId="0">
      <text>
        <r>
          <rPr>
            <b/>
            <sz val="9"/>
            <rFont val="Tahoma"/>
            <family val="2"/>
          </rPr>
          <t>Sheet Note:</t>
        </r>
        <r>
          <rPr>
            <sz val="9"/>
            <rFont val="Tahoma"/>
            <family val="2"/>
          </rPr>
          <t xml:space="preserve">
This is an average of the 'Average area per bedroom' (not including accessible bedrooms) and is derived from dividing cell Average for 'Total of Bedrooms' by the 'Number of Bedrooms (not Accessible)'.
</t>
        </r>
      </text>
    </comment>
    <comment ref="T8" authorId="0">
      <text>
        <r>
          <rPr>
            <b/>
            <sz val="9"/>
            <rFont val="Tahoma"/>
            <family val="2"/>
          </rPr>
          <t>Sheet Note:</t>
        </r>
        <r>
          <rPr>
            <sz val="9"/>
            <rFont val="Tahoma"/>
            <family val="2"/>
          </rPr>
          <t xml:space="preserve">
This cell returns an average of the Total Communal Area.
Please see Comment on Total Communal Area.</t>
        </r>
      </text>
    </comment>
    <comment ref="U8" authorId="0">
      <text>
        <r>
          <rPr>
            <b/>
            <sz val="9"/>
            <rFont val="Tahoma"/>
            <family val="2"/>
          </rPr>
          <t>Sheet Note:</t>
        </r>
        <r>
          <rPr>
            <sz val="9"/>
            <rFont val="Tahoma"/>
            <family val="2"/>
          </rPr>
          <t xml:space="preserve">
This cell returns the SUM of the Total Communal Area.
Please see note on Total Communal Area.</t>
        </r>
      </text>
    </comment>
    <comment ref="U11" authorId="0">
      <text>
        <r>
          <rPr>
            <b/>
            <sz val="9"/>
            <rFont val="Tahoma"/>
            <family val="2"/>
          </rPr>
          <t>Sheet Note:</t>
        </r>
        <r>
          <rPr>
            <sz val="9"/>
            <rFont val="Tahoma"/>
            <family val="2"/>
          </rPr>
          <t xml:space="preserve">
This is a sum of the Total Area of Bedrooms for all PBSAs measured.</t>
        </r>
      </text>
    </comment>
    <comment ref="U24" authorId="0">
      <text>
        <r>
          <rPr>
            <b/>
            <sz val="9"/>
            <rFont val="Tahoma"/>
            <family val="2"/>
          </rPr>
          <t>Sheet Note:</t>
        </r>
        <r>
          <rPr>
            <sz val="9"/>
            <rFont val="Tahoma"/>
            <family val="2"/>
          </rPr>
          <t xml:space="preserve">
The number of Bedrooms measured including accessible bedrooms.</t>
        </r>
      </text>
    </comment>
    <comment ref="U26" authorId="0">
      <text>
        <r>
          <rPr>
            <b/>
            <sz val="9"/>
            <rFont val="Tahoma"/>
            <family val="2"/>
          </rPr>
          <t>Sheet Note:</t>
        </r>
        <r>
          <rPr>
            <sz val="9"/>
            <rFont val="Tahoma"/>
            <family val="2"/>
          </rPr>
          <t xml:space="preserve">
Total Number of Accessible Bedrooms (as self stated) measured.</t>
        </r>
      </text>
    </comment>
    <comment ref="C24" authorId="0">
      <text>
        <r>
          <rPr>
            <b/>
            <sz val="9"/>
            <rFont val="Tahoma"/>
            <family val="2"/>
          </rPr>
          <t>Sheet Note:</t>
        </r>
        <r>
          <rPr>
            <sz val="9"/>
            <rFont val="Tahoma"/>
            <family val="2"/>
          </rPr>
          <t xml:space="preserve">
Total Number of bedrooms measured including accessible bedrooms.</t>
        </r>
      </text>
    </comment>
    <comment ref="C26" authorId="0">
      <text>
        <r>
          <rPr>
            <b/>
            <sz val="9"/>
            <rFont val="Tahoma"/>
            <family val="2"/>
          </rPr>
          <t>Sheet Note:</t>
        </r>
        <r>
          <rPr>
            <sz val="9"/>
            <rFont val="Tahoma"/>
            <family val="2"/>
          </rPr>
          <t xml:space="preserve">
Number of Accessible Bedrooms by PBSA</t>
        </r>
      </text>
    </comment>
    <comment ref="C27" authorId="0">
      <text>
        <r>
          <rPr>
            <b/>
            <sz val="9"/>
            <rFont val="Tahoma"/>
            <family val="2"/>
          </rPr>
          <t>Sheet Note:</t>
        </r>
        <r>
          <rPr>
            <sz val="9"/>
            <rFont val="Tahoma"/>
            <family val="2"/>
          </rPr>
          <t xml:space="preserve">
Average size of Accesible Bedrooms.
Please note this is measured from the individiual PBSA Sheets and not from the summary table. </t>
        </r>
      </text>
    </comment>
    <comment ref="T27" authorId="0">
      <text>
        <r>
          <rPr>
            <b/>
            <sz val="9"/>
            <rFont val="Tahoma"/>
            <family val="2"/>
          </rPr>
          <t>Sheet Note:</t>
        </r>
        <r>
          <rPr>
            <sz val="9"/>
            <rFont val="Tahoma"/>
            <family val="2"/>
          </rPr>
          <t xml:space="preserve">
Average area of an Accessible Bedroom.
Note this ONLY counts PBSAs that have accessible bedrooms within them.</t>
        </r>
      </text>
    </comment>
    <comment ref="C29" authorId="0">
      <text>
        <r>
          <rPr>
            <b/>
            <sz val="9"/>
            <rFont val="Tahoma"/>
            <family val="2"/>
          </rPr>
          <t>Sheet Note:</t>
        </r>
        <r>
          <rPr>
            <sz val="9"/>
            <rFont val="Tahoma"/>
            <family val="2"/>
          </rPr>
          <t xml:space="preserve">
This provides the Ratio (or more accurately the avreage area) per bedroom of the General Communal Area.
It is calculated by taking the General communal area and dividing it by the total number of bedrooms.
So if there was 400 sqm of General Communal Area and 200 bedrooms each bedroom would have 2 sqm.
Please Note: As each bedroom will have 1 person in them this figure can also be stated as General Communal Area per person.</t>
        </r>
      </text>
    </comment>
    <comment ref="T29" authorId="0">
      <text>
        <r>
          <rPr>
            <b/>
            <sz val="9"/>
            <rFont val="Tahoma"/>
            <family val="2"/>
          </rPr>
          <t>Sheet Note:</t>
        </r>
        <r>
          <rPr>
            <sz val="9"/>
            <rFont val="Tahoma"/>
            <family val="2"/>
          </rPr>
          <t xml:space="preserve">
This cell return two figures.
The first figure is the average ratio area General to all flats for all the units. The second (in brackets) does the same but discounts the PBSAs where there was no General Communal Area.</t>
        </r>
      </text>
    </comment>
    <comment ref="C34" authorId="0">
      <text>
        <r>
          <rPr>
            <b/>
            <sz val="9"/>
            <rFont val="Tahoma"/>
            <family val="2"/>
          </rPr>
          <t>Sheet Note:</t>
        </r>
        <r>
          <rPr>
            <sz val="9"/>
            <rFont val="Tahoma"/>
            <family val="2"/>
          </rPr>
          <t xml:space="preserve">
These figures show the average Local Communal Area by Cluster size.
So (for instance) in St Marks Residence the average Local Communal Area for 6 bedroom clusters is 5.48 sqm.
These figures are returned from the indivual PBSA sheets.
The last column shows the average size of the Local Communal Area by Cluster Flat size for all PBSAs measured.</t>
        </r>
      </text>
    </comment>
    <comment ref="T20" authorId="0">
      <text>
        <r>
          <rPr>
            <b/>
            <sz val="9"/>
            <rFont val="Tahoma"/>
            <family val="2"/>
          </rPr>
          <t>Sheet Note:</t>
        </r>
        <r>
          <rPr>
            <sz val="9"/>
            <rFont val="Tahoma"/>
            <family val="2"/>
          </rPr>
          <t xml:space="preserve">
Average area of an Studio Unit.
Note this ONLY counts PBSAs that have studio units within them.</t>
        </r>
      </text>
    </comment>
  </commentList>
</comments>
</file>

<file path=xl/comments3.xml><?xml version="1.0" encoding="utf-8"?>
<comments xmlns="http://schemas.openxmlformats.org/spreadsheetml/2006/main">
  <authors>
    <author>Miladinovic, Abbie</author>
  </authors>
  <commentList>
    <comment ref="R1" authorId="0">
      <text>
        <r>
          <rPr>
            <sz val="9"/>
            <rFont val="Tahoma"/>
            <family val="2"/>
          </rPr>
          <t xml:space="preserve">Average Kitchen / Diner Space multiplied by number of Bedrooms in the cluster
</t>
        </r>
      </text>
    </comment>
  </commentList>
</comments>
</file>

<file path=xl/sharedStrings.xml><?xml version="1.0" encoding="utf-8"?>
<sst xmlns="http://schemas.openxmlformats.org/spreadsheetml/2006/main" count="2133" uniqueCount="203">
  <si>
    <t>City Side Phase 2</t>
  </si>
  <si>
    <t>City Side Phase 3</t>
  </si>
  <si>
    <t>Broadcasting Place</t>
  </si>
  <si>
    <t>The Plaza, Clay Pit Lane</t>
  </si>
  <si>
    <t>Woodhouse Street</t>
  </si>
  <si>
    <t>6 Bingley Street</t>
  </si>
  <si>
    <t>Cavendish Street</t>
  </si>
  <si>
    <t>Cluster Name</t>
  </si>
  <si>
    <t>Number of Beds Total</t>
  </si>
  <si>
    <t>Bedrooms type 1</t>
  </si>
  <si>
    <t>Bedrooms type 2</t>
  </si>
  <si>
    <t>Bedrooms type 3</t>
  </si>
  <si>
    <t>Bedrooms type 4</t>
  </si>
  <si>
    <t>Bedrooms type 5</t>
  </si>
  <si>
    <t>Bedrooms type 6</t>
  </si>
  <si>
    <t>Communal bath/toilet</t>
  </si>
  <si>
    <t>Communal kit/living</t>
  </si>
  <si>
    <t>Num</t>
  </si>
  <si>
    <t>Size</t>
  </si>
  <si>
    <t>Scheme Name</t>
  </si>
  <si>
    <t>Internal Communal Area</t>
  </si>
  <si>
    <t>Studios</t>
  </si>
  <si>
    <t>Type 1</t>
  </si>
  <si>
    <t>Type 2</t>
  </si>
  <si>
    <t>Type 3</t>
  </si>
  <si>
    <t>Type 4</t>
  </si>
  <si>
    <t>Type 5</t>
  </si>
  <si>
    <t>Type 6</t>
  </si>
  <si>
    <t>Type 7</t>
  </si>
  <si>
    <t>Type 8</t>
  </si>
  <si>
    <t>Type 9</t>
  </si>
  <si>
    <t>Type 10</t>
  </si>
  <si>
    <t>Type 11</t>
  </si>
  <si>
    <t>Type 12</t>
  </si>
  <si>
    <t>Accessible?</t>
  </si>
  <si>
    <t>Y</t>
  </si>
  <si>
    <t>Block F type 1 Ground</t>
  </si>
  <si>
    <t>Block F Floors 1 -10 T2</t>
  </si>
  <si>
    <t>Block H2 Floors 1 - 4 T1</t>
  </si>
  <si>
    <t>City Side Phase 1 Block F</t>
  </si>
  <si>
    <t>Block F Floors 1 -10  T1</t>
  </si>
  <si>
    <t>Block H Ground Floor T1</t>
  </si>
  <si>
    <t>Block H Ground Floor T2</t>
  </si>
  <si>
    <t>Block H Floors 1 - 9 T3</t>
  </si>
  <si>
    <t>Block 1 Type 1</t>
  </si>
  <si>
    <t>Block 1 Type 2</t>
  </si>
  <si>
    <t>Block 2 Type 1</t>
  </si>
  <si>
    <t>Block 2 Type 2</t>
  </si>
  <si>
    <t>Blenheim Court</t>
  </si>
  <si>
    <t>St Marks Residence</t>
  </si>
  <si>
    <t>Block A Level 1 Flat 1</t>
  </si>
  <si>
    <t>Block A Level 1 Flat 2</t>
  </si>
  <si>
    <t>Block A Levels 2 -4 Flat 1</t>
  </si>
  <si>
    <t>Block A Level 5 Flat 1</t>
  </si>
  <si>
    <t>Block A Levels 2 - 5 Flat 2</t>
  </si>
  <si>
    <t>Block B Level 1 Flat 1</t>
  </si>
  <si>
    <t>Block B Level 1 Flat 2</t>
  </si>
  <si>
    <t>Block B Levels 2 - 4 Flat 1</t>
  </si>
  <si>
    <t>Block B Levels 2 - 4 Flat 2</t>
  </si>
  <si>
    <t>Block C Level 1 Flat 2</t>
  </si>
  <si>
    <t>Block C Levels 1 - 4 Flat 1</t>
  </si>
  <si>
    <t>Bloc C Levels 2 - 5 Flat 2</t>
  </si>
  <si>
    <t>Block D Level 1 Flat 1</t>
  </si>
  <si>
    <t>Block D Levels 1 - 4 Flat 2</t>
  </si>
  <si>
    <t>Block D Levels 2 - 5 Flat 1</t>
  </si>
  <si>
    <t>Block E Levels 1 -3 Flat 1</t>
  </si>
  <si>
    <t>Block E Levels 4 -5 Flat 1</t>
  </si>
  <si>
    <t>Bloc E Level 1 Flat 2</t>
  </si>
  <si>
    <t>Block E Levels 2 - 5 Flat 2</t>
  </si>
  <si>
    <t>Block F Level  0 Flat 1</t>
  </si>
  <si>
    <t>Bloc F Level 0 Flat 2</t>
  </si>
  <si>
    <t>Block F Levels 1 - 3 Flat 1</t>
  </si>
  <si>
    <t>Block F Levels 1 - 2 Flat 2</t>
  </si>
  <si>
    <t>Block G Levels 0 - 3 Flat 1</t>
  </si>
  <si>
    <t>Block G Levels 0 - 3 Flat 2</t>
  </si>
  <si>
    <t>Block G Levels 0 - 3 Flat 3</t>
  </si>
  <si>
    <t>Block G Levels 0 - 2 Flat 4</t>
  </si>
  <si>
    <t>Block H Levels 1 - 6 Flat 1</t>
  </si>
  <si>
    <t>Block H Levels 1 - 5 Flat 2</t>
  </si>
  <si>
    <t>Block J Levels 0 - 2 Flat 1</t>
  </si>
  <si>
    <t>Block K Levels 1 - 4 Flat 1</t>
  </si>
  <si>
    <t>Block K Levels 1 - 5 Flat 2</t>
  </si>
  <si>
    <t>Type 1 LG to 2nd Floors</t>
  </si>
  <si>
    <t>Type 2 LG to 2nd Floors</t>
  </si>
  <si>
    <t>Type 3 Lower Ground Floor</t>
  </si>
  <si>
    <t>Type 7 Grd Floor</t>
  </si>
  <si>
    <t xml:space="preserve">Type 4 Grd </t>
  </si>
  <si>
    <t>Type 8 1st to 2nd Floor</t>
  </si>
  <si>
    <t>Type 11 Ist Floor</t>
  </si>
  <si>
    <t>Type 12  Ist Floor</t>
  </si>
  <si>
    <t>Type 13 1st and 2nd Floor</t>
  </si>
  <si>
    <t>Type 17 2nf Floor</t>
  </si>
  <si>
    <t>Servia Road Blocks A &amp; B</t>
  </si>
  <si>
    <t>Block A &amp; B Ground to 5th Floor Type 1</t>
  </si>
  <si>
    <t>Block A &amp; B Ground to 6th Type 2</t>
  </si>
  <si>
    <t>Block A &amp; B Ground to 6th Type 3</t>
  </si>
  <si>
    <t>Block A &amp; B Ground to 6th Type 4</t>
  </si>
  <si>
    <t>Bedrooms type 7</t>
  </si>
  <si>
    <t>Type 1 Ground Floor</t>
  </si>
  <si>
    <t>Type 2 Ground Floor</t>
  </si>
  <si>
    <t>Type 3 Ground Floor</t>
  </si>
  <si>
    <t>Type 4 Ground Floor</t>
  </si>
  <si>
    <t>Type 5 Ground Floor</t>
  </si>
  <si>
    <t>Type 6 Level 2 - 5</t>
  </si>
  <si>
    <t xml:space="preserve">Type 7 Level 2 - 6                       </t>
  </si>
  <si>
    <t xml:space="preserve">Standard Flats                                                                                                                                                                                                                                                                                                                                                                                                                                                                                                                                                                                                                                                                                                                                                                                                                                                                                                                                                                                                                                                                                                                                                                                                                                                                                                                                                                                                                                                                                                                                                                                                                                                                                                                                                                                                                                                                                                                                                                                         </t>
  </si>
  <si>
    <t>Ground Floor Flat 1</t>
  </si>
  <si>
    <t>Ground Floor Flat 2</t>
  </si>
  <si>
    <t>Ground Floor Flat 3</t>
  </si>
  <si>
    <t>Floors 1 -4 Type 1</t>
  </si>
  <si>
    <t>Floors 1 - 4 Type 2</t>
  </si>
  <si>
    <t>Floor 1 - 4 Type 3</t>
  </si>
  <si>
    <t>Floors 1 - 4 Type 4</t>
  </si>
  <si>
    <t>Floor 5 Flat 24</t>
  </si>
  <si>
    <t>Floor 5 Flat 25</t>
  </si>
  <si>
    <t>Floor 5 Flat 26</t>
  </si>
  <si>
    <t>Floor 5 Flat 27</t>
  </si>
  <si>
    <t>Floor 6 Flat 30</t>
  </si>
  <si>
    <t>Floor 6 Flat 31</t>
  </si>
  <si>
    <t>Floor 6 Flat 32</t>
  </si>
  <si>
    <t>Floor 7 Flat 28</t>
  </si>
  <si>
    <t>Floor 7 Flat 29</t>
  </si>
  <si>
    <t>Central Living Village</t>
  </si>
  <si>
    <t>First Floor Type 1</t>
  </si>
  <si>
    <t>First Floor Type 2</t>
  </si>
  <si>
    <t>First Floor Type 3</t>
  </si>
  <si>
    <t>First Floor Type 4</t>
  </si>
  <si>
    <t>Floors 2 - 18 Type 5</t>
  </si>
  <si>
    <t>Floors 2 - 18 Type 6</t>
  </si>
  <si>
    <t>Floors 2 - 18 Type 4</t>
  </si>
  <si>
    <t>Floor 19 - 21 Type 5</t>
  </si>
  <si>
    <t>Floor 19 - 21 Type 6</t>
  </si>
  <si>
    <t>Floors 19 - 21 Type 7</t>
  </si>
  <si>
    <t>Floor 22 Type 8</t>
  </si>
  <si>
    <t>5 Burley Road (Opal 2)</t>
  </si>
  <si>
    <t>Standard Bedrooms</t>
  </si>
  <si>
    <t>y</t>
  </si>
  <si>
    <t>Standard Room</t>
  </si>
  <si>
    <t>1 - 3 Burley Toad (Opal 1)</t>
  </si>
  <si>
    <t>Standard Cluster Flats (all Floors)</t>
  </si>
  <si>
    <t>General Communal Area</t>
  </si>
  <si>
    <t>Total Communal Area</t>
  </si>
  <si>
    <t>City Side Phase 1</t>
  </si>
  <si>
    <t>Belnheim Court</t>
  </si>
  <si>
    <t>Servia Road</t>
  </si>
  <si>
    <t>5 Burley Road</t>
  </si>
  <si>
    <t>The Plaza Clay Pit Lane</t>
  </si>
  <si>
    <t>1-3 Burley Road (Opal 1)</t>
  </si>
  <si>
    <t>Average</t>
  </si>
  <si>
    <t>Tolerance</t>
  </si>
  <si>
    <t>Total</t>
  </si>
  <si>
    <t>Deluxe</t>
  </si>
  <si>
    <t>Standard</t>
  </si>
  <si>
    <t>Accessible</t>
  </si>
  <si>
    <t>Type 1 (Acc)</t>
  </si>
  <si>
    <t>Number of Accessible Bedrooms</t>
  </si>
  <si>
    <t>Cluster (Number of Beds)</t>
  </si>
  <si>
    <t>sqm</t>
  </si>
  <si>
    <t>Number of Beds  in Each Cluster</t>
  </si>
  <si>
    <t>Size of Cluster</t>
  </si>
  <si>
    <t>No. of Beds</t>
  </si>
  <si>
    <t>No. Of Clusters</t>
  </si>
  <si>
    <t>No. of Kitchen / Living Areas</t>
  </si>
  <si>
    <t>Size of Kitchen l Living Areas (sqm)</t>
  </si>
  <si>
    <t>Number of Bedrooms not Counting Accessible</t>
  </si>
  <si>
    <t>Overall Area of Kitchen / Living (sqm)</t>
  </si>
  <si>
    <t>Av. Area of K/L Per bedroom not counting Accessible Units (sqm)</t>
  </si>
  <si>
    <t>Av. Area of K/L Per Bedroom for All Units (sqm)</t>
  </si>
  <si>
    <t>Cluster Size</t>
  </si>
  <si>
    <t>Ratio of Room to General Communal Area</t>
  </si>
  <si>
    <t>Total Number of Bedrooms Inc Accessible</t>
  </si>
  <si>
    <t>Ratio of kitchen/diner space per bedroom (3 bed cluster)</t>
  </si>
  <si>
    <t>Ratio of kitchen/diner space per bedroom (4 bed cluster)</t>
  </si>
  <si>
    <t>Ratio of kitchen/diner space per bedroom (6 bed cluster)</t>
  </si>
  <si>
    <t>Ratio of kitchen/diner space per bedroom (5 bed cluster)</t>
  </si>
  <si>
    <t>Ratio of kitchen/diner space per bedroom (7 bed cluster)</t>
  </si>
  <si>
    <t>Ratio of kitchen/diner space per bedroom (8 bed cluster)</t>
  </si>
  <si>
    <t>Ratio of kitchen/diner space per bedroom (9 bed cluster)</t>
  </si>
  <si>
    <t>Ratio of kitchen/diner space per bedroom (10 bed cluster)</t>
  </si>
  <si>
    <t>Average Size of Accessible Bedroom</t>
  </si>
  <si>
    <t>Average size of Bedroom (cluster &amp; studio) (non Accessible)</t>
  </si>
  <si>
    <t>Total Area of Bedrooms (cluster &amp; studio) (non Accessible)</t>
  </si>
  <si>
    <t>Number of Bedrooms (cluster &amp; studio) (non Accessible)</t>
  </si>
  <si>
    <t>Number of Cluster Bedrooms (non Accessible)</t>
  </si>
  <si>
    <t>Total Area of Cluster Bedrooms (non Accessible)</t>
  </si>
  <si>
    <t>Average Size of Cluster Bedroom (non Accessible)</t>
  </si>
  <si>
    <t>Number of Studio Bedspaces (non Accessible)</t>
  </si>
  <si>
    <t>Total Area of Studio Bedspace (non Accessible)</t>
  </si>
  <si>
    <t>Average Size of Studio Bedspaces (non Accessible)</t>
  </si>
  <si>
    <t>Beds</t>
  </si>
  <si>
    <t>Size (En-Suite)</t>
  </si>
  <si>
    <t>Size (Non En-Suite)</t>
  </si>
  <si>
    <t xml:space="preserve">Kitchen / Living Size </t>
  </si>
  <si>
    <t>Kitchen / Dining / Living Area (Shared Internal Area)</t>
  </si>
  <si>
    <r>
      <t>Appendix 4</t>
    </r>
    <r>
      <rPr>
        <b/>
        <u val="single"/>
        <strike/>
        <sz val="12"/>
        <color indexed="10"/>
        <rFont val="Arial"/>
        <family val="2"/>
      </rPr>
      <t xml:space="preserve"> </t>
    </r>
    <r>
      <rPr>
        <b/>
        <u val="single"/>
        <sz val="12"/>
        <color indexed="8"/>
        <rFont val="Arial"/>
        <family val="2"/>
      </rPr>
      <t>– Older PBSA Schemes</t>
    </r>
  </si>
  <si>
    <r>
      <t xml:space="preserve">              </t>
    </r>
    <r>
      <rPr>
        <sz val="12"/>
        <color indexed="8"/>
        <rFont val="Arial"/>
        <family val="2"/>
      </rPr>
      <t>i.</t>
    </r>
    <r>
      <rPr>
        <sz val="7"/>
        <color indexed="8"/>
        <rFont val="Times New Roman"/>
        <family val="1"/>
      </rPr>
      <t xml:space="preserve">        </t>
    </r>
    <r>
      <rPr>
        <sz val="12"/>
        <color indexed="8"/>
        <rFont val="Arial"/>
        <family val="2"/>
      </rPr>
      <t>PBSA schemes identified from list of residential permissions 2001 – 2020</t>
    </r>
  </si>
  <si>
    <r>
      <t xml:space="preserve">            </t>
    </r>
    <r>
      <rPr>
        <sz val="12"/>
        <color indexed="8"/>
        <rFont val="Arial"/>
        <family val="2"/>
      </rPr>
      <t>ii.</t>
    </r>
    <r>
      <rPr>
        <sz val="7"/>
        <color indexed="8"/>
        <rFont val="Times New Roman"/>
        <family val="1"/>
      </rPr>
      <t xml:space="preserve">        </t>
    </r>
    <r>
      <rPr>
        <sz val="12"/>
        <color indexed="8"/>
        <rFont val="Arial"/>
        <family val="2"/>
      </rPr>
      <t>PDF Floor plans examined to understand how many different sizes and forms of student flats are present.</t>
    </r>
  </si>
  <si>
    <r>
      <t xml:space="preserve">           </t>
    </r>
    <r>
      <rPr>
        <sz val="12"/>
        <color indexed="8"/>
        <rFont val="Arial"/>
        <family val="2"/>
      </rPr>
      <t>iii.</t>
    </r>
    <r>
      <rPr>
        <sz val="7"/>
        <color indexed="8"/>
        <rFont val="Times New Roman"/>
        <family val="1"/>
      </rPr>
      <t xml:space="preserve">        </t>
    </r>
    <r>
      <rPr>
        <sz val="12"/>
        <color indexed="8"/>
        <rFont val="Arial"/>
        <family val="2"/>
      </rPr>
      <t>CAPS Uniform measurement software used to measure flat sizes after setting scale.</t>
    </r>
  </si>
  <si>
    <r>
      <t xml:space="preserve">           </t>
    </r>
    <r>
      <rPr>
        <sz val="12"/>
        <color indexed="8"/>
        <rFont val="Arial"/>
        <family val="2"/>
      </rPr>
      <t>iv.</t>
    </r>
    <r>
      <rPr>
        <sz val="7"/>
        <color indexed="8"/>
        <rFont val="Times New Roman"/>
        <family val="1"/>
      </rPr>
      <t xml:space="preserve">        </t>
    </r>
    <r>
      <rPr>
        <sz val="12"/>
        <color indexed="8"/>
        <rFont val="Arial"/>
        <family val="2"/>
      </rPr>
      <t>Capacity to list bedrooms as en-suite or non-en-suite.  In practice, all measured bedrooms were en-suite.</t>
    </r>
  </si>
  <si>
    <r>
      <t xml:space="preserve">            </t>
    </r>
    <r>
      <rPr>
        <sz val="12"/>
        <color indexed="8"/>
        <rFont val="Arial"/>
        <family val="2"/>
      </rPr>
      <t>v.</t>
    </r>
    <r>
      <rPr>
        <sz val="7"/>
        <color indexed="8"/>
        <rFont val="Times New Roman"/>
        <family val="1"/>
      </rPr>
      <t xml:space="preserve">        </t>
    </r>
    <r>
      <rPr>
        <sz val="12"/>
        <color indexed="8"/>
        <rFont val="Arial"/>
        <family val="2"/>
      </rPr>
      <t>Studio flats were measured separately as a total dwelling size.</t>
    </r>
  </si>
  <si>
    <r>
      <t xml:space="preserve">           </t>
    </r>
    <r>
      <rPr>
        <sz val="12"/>
        <color indexed="8"/>
        <rFont val="Arial"/>
        <family val="2"/>
      </rPr>
      <t>vi.</t>
    </r>
    <r>
      <rPr>
        <sz val="7"/>
        <color indexed="8"/>
        <rFont val="Times New Roman"/>
        <family val="1"/>
      </rPr>
      <t xml:space="preserve">        </t>
    </r>
    <r>
      <rPr>
        <sz val="12"/>
        <color indexed="8"/>
        <rFont val="Arial"/>
        <family val="2"/>
      </rPr>
      <t>Communal kitchen/dining rooms within cluster flats measured.</t>
    </r>
  </si>
  <si>
    <r>
      <t xml:space="preserve">          </t>
    </r>
    <r>
      <rPr>
        <sz val="12"/>
        <color indexed="8"/>
        <rFont val="Arial"/>
        <family val="2"/>
      </rPr>
      <t>vii.</t>
    </r>
    <r>
      <rPr>
        <sz val="7"/>
        <color indexed="8"/>
        <rFont val="Times New Roman"/>
        <family val="1"/>
      </rPr>
      <t xml:space="preserve">        </t>
    </r>
    <r>
      <rPr>
        <sz val="12"/>
        <color indexed="8"/>
        <rFont val="Arial"/>
        <family val="2"/>
      </rPr>
      <t>Other communal areas in the scheme measured, e.g. ground floor areas.  Areas in separate buildings were not counted.</t>
    </r>
  </si>
  <si>
    <r>
      <t xml:space="preserve">              </t>
    </r>
    <r>
      <rPr>
        <sz val="11"/>
        <color theme="1"/>
        <rFont val="Calibri"/>
        <family val="2"/>
      </rPr>
      <t>viii.</t>
    </r>
    <r>
      <rPr>
        <sz val="7"/>
        <color indexed="8"/>
        <rFont val="Times New Roman"/>
        <family val="1"/>
      </rPr>
      <t xml:space="preserve">            </t>
    </r>
    <r>
      <rPr>
        <sz val="12"/>
        <color indexed="8"/>
        <rFont val="Arial"/>
        <family val="2"/>
      </rPr>
      <t>Measurements were as gross internal floorspace, e.g. measuring to the inside of walls.  Internal partition walls (such as for en-suites) measured through rather than round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</si>
</sst>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1"/>
      <color theme="1"/>
      <name val="Calibri"/>
      <family val="2"/>
    </font>
    <font>
      <sz val="11"/>
      <color indexed="8"/>
      <name val="Calibri"/>
      <family val="2"/>
    </font>
    <font>
      <sz val="9"/>
      <name val="Tahoma"/>
      <family val="2"/>
    </font>
    <font>
      <b/>
      <sz val="9"/>
      <name val="Tahoma"/>
      <family val="2"/>
    </font>
    <font>
      <b/>
      <u val="single"/>
      <sz val="12"/>
      <color indexed="8"/>
      <name val="Arial"/>
      <family val="2"/>
    </font>
    <font>
      <b/>
      <u val="single"/>
      <strike/>
      <sz val="12"/>
      <color indexed="10"/>
      <name val="Arial"/>
      <family val="2"/>
    </font>
    <font>
      <sz val="12"/>
      <color indexed="8"/>
      <name val="Arial"/>
      <family val="2"/>
    </font>
    <font>
      <sz val="7"/>
      <color indexed="8"/>
      <name val="Times New Roman"/>
      <family val="1"/>
    </font>
    <font>
      <b/>
      <sz val="11"/>
      <color indexed="8"/>
      <name val="Calibri"/>
      <family val="2"/>
    </font>
    <font>
      <sz val="11"/>
      <color indexed="60"/>
      <name val="Calibri"/>
      <family val="2"/>
    </font>
    <font>
      <sz val="10"/>
      <color indexed="8"/>
      <name val="Calibri"/>
      <family val="2"/>
    </font>
    <font>
      <sz val="10"/>
      <color indexed="60"/>
      <name val="Calibri"/>
      <family val="2"/>
    </font>
    <font>
      <b/>
      <sz val="10"/>
      <color indexed="8"/>
      <name val="Calibri"/>
      <family val="2"/>
    </font>
    <font>
      <b/>
      <sz val="10"/>
      <color indexed="60"/>
      <name val="Calibri"/>
      <family val="2"/>
    </font>
    <font>
      <sz val="10"/>
      <color indexed="30"/>
      <name val="Calibri"/>
      <family val="2"/>
    </font>
    <font>
      <i/>
      <sz val="8"/>
      <color indexed="60"/>
      <name val="Calibri"/>
      <family val="2"/>
    </font>
    <font>
      <sz val="10"/>
      <color indexed="10"/>
      <name val="Calibri"/>
      <family val="2"/>
    </font>
    <font>
      <i/>
      <sz val="8"/>
      <name val="Calibri"/>
      <family val="2"/>
    </font>
    <font>
      <sz val="10"/>
      <name val="Calibri"/>
      <family val="2"/>
    </font>
    <font>
      <b/>
      <sz val="11"/>
      <color indexed="60"/>
      <name val="Calibri"/>
      <family val="2"/>
    </font>
    <font>
      <b/>
      <sz val="11"/>
      <name val="Calibri"/>
      <family val="2"/>
    </font>
    <font>
      <b/>
      <sz val="11"/>
      <color indexed="10"/>
      <name val="Calibri"/>
      <family val="2"/>
    </font>
    <font>
      <sz val="11"/>
      <name val="Calibri"/>
      <family val="2"/>
    </font>
    <font>
      <b/>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C00000"/>
      <name val="Calibri"/>
      <family val="2"/>
    </font>
    <font>
      <sz val="10"/>
      <color theme="1"/>
      <name val="Calibri"/>
      <family val="2"/>
    </font>
    <font>
      <sz val="10"/>
      <color rgb="FFC00000"/>
      <name val="Calibri"/>
      <family val="2"/>
    </font>
    <font>
      <b/>
      <sz val="10"/>
      <color theme="1"/>
      <name val="Calibri"/>
      <family val="2"/>
    </font>
    <font>
      <b/>
      <sz val="10"/>
      <color rgb="FFC00000"/>
      <name val="Calibri"/>
      <family val="2"/>
    </font>
    <font>
      <sz val="10"/>
      <color rgb="FF0070C0"/>
      <name val="Calibri"/>
      <family val="2"/>
    </font>
    <font>
      <i/>
      <sz val="8"/>
      <color rgb="FFC00000"/>
      <name val="Calibri"/>
      <family val="2"/>
    </font>
    <font>
      <sz val="10"/>
      <color rgb="FFFF0000"/>
      <name val="Calibri"/>
      <family val="2"/>
    </font>
    <font>
      <b/>
      <sz val="11"/>
      <color rgb="FFC00000"/>
      <name val="Calibri"/>
      <family val="2"/>
    </font>
    <font>
      <b/>
      <sz val="11"/>
      <color rgb="FFFF0000"/>
      <name val="Calibri"/>
      <family val="2"/>
    </font>
    <font>
      <b/>
      <u val="single"/>
      <sz val="12"/>
      <color theme="1"/>
      <name val="Arial"/>
      <family val="2"/>
    </font>
    <font>
      <sz val="7"/>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medium"/>
      <right/>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medium"/>
      <top/>
      <bottom/>
    </border>
    <border>
      <left/>
      <right style="medium"/>
      <top/>
      <bottom style="medium"/>
    </border>
    <border>
      <left/>
      <right/>
      <top/>
      <bottom style="medium"/>
    </border>
    <border>
      <left style="medium"/>
      <right/>
      <top/>
      <bottom/>
    </border>
    <border>
      <left/>
      <right/>
      <top style="medium"/>
      <bottom style="medium"/>
    </border>
    <border>
      <left/>
      <right/>
      <top style="medium"/>
      <bottom/>
    </border>
    <border>
      <left/>
      <right style="medium"/>
      <top style="medium"/>
      <bottom/>
    </border>
    <border>
      <left style="medium"/>
      <right/>
      <top style="medium"/>
      <bottom/>
    </border>
    <border>
      <left style="hair"/>
      <right style="hair"/>
      <top style="thin"/>
      <bottom style="hair"/>
    </border>
    <border>
      <left style="hair"/>
      <right style="hair"/>
      <top style="hair"/>
      <bottom style="thin"/>
    </border>
    <border>
      <left style="hair"/>
      <right style="hair"/>
      <top style="thin"/>
      <bottom style="thin"/>
    </border>
    <border>
      <left/>
      <right style="hair"/>
      <top style="hair"/>
      <bottom style="thin"/>
    </border>
    <border>
      <left/>
      <right style="thin"/>
      <top/>
      <bottom/>
    </border>
    <border>
      <left style="thin"/>
      <right style="hair"/>
      <top style="thin"/>
      <bottom style="hair"/>
    </border>
    <border>
      <left style="thin"/>
      <right style="hair"/>
      <top style="hair"/>
      <bottom style="thin"/>
    </border>
    <border>
      <left style="thin"/>
      <right/>
      <top/>
      <bottom/>
    </border>
    <border>
      <left style="thin"/>
      <right/>
      <top style="thin"/>
      <bottom/>
    </border>
    <border>
      <left style="thin"/>
      <right style="hair"/>
      <top style="thin"/>
      <bottom style="thin"/>
    </border>
    <border>
      <left/>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hair"/>
      <bottom/>
    </border>
    <border>
      <left/>
      <right style="thin"/>
      <top style="thin"/>
      <bottom style="hair"/>
    </border>
    <border>
      <left style="thin"/>
      <right style="hair"/>
      <top style="hair"/>
      <bottom style="hair"/>
    </border>
    <border>
      <left/>
      <right style="thin"/>
      <top style="hair"/>
      <bottom style="hair"/>
    </border>
    <border>
      <left/>
      <right style="thin"/>
      <top style="hair"/>
      <bottom style="thin"/>
    </border>
    <border>
      <left style="hair"/>
      <right style="thin"/>
      <top style="thin"/>
      <bottom style="hair"/>
    </border>
    <border>
      <left style="hair"/>
      <right style="thin"/>
      <top style="hair"/>
      <bottom/>
    </border>
    <border>
      <left style="hair"/>
      <right style="hair"/>
      <top style="hair"/>
      <bottom style="medium"/>
    </border>
    <border>
      <left style="hair"/>
      <right style="hair"/>
      <top/>
      <bottom style="hair"/>
    </border>
    <border>
      <left style="hair"/>
      <right style="hair"/>
      <top style="medium"/>
      <bottom style="thin"/>
    </border>
    <border>
      <left style="hair"/>
      <right style="medium"/>
      <top style="medium"/>
      <bottom style="thin"/>
    </border>
    <border>
      <left/>
      <right style="hair"/>
      <top style="medium"/>
      <bottom style="thin"/>
    </border>
    <border>
      <left/>
      <right style="hair"/>
      <top/>
      <bottom style="hair"/>
    </border>
    <border>
      <left/>
      <right style="hair"/>
      <top style="hair"/>
      <bottom style="hair"/>
    </border>
    <border>
      <left/>
      <right style="hair"/>
      <top style="hair"/>
      <bottom style="medium"/>
    </border>
    <border>
      <left style="medium"/>
      <right style="thin"/>
      <top style="medium"/>
      <bottom style="thin"/>
    </border>
    <border>
      <left style="medium"/>
      <right style="thin"/>
      <top/>
      <bottom style="hair"/>
    </border>
    <border>
      <left style="medium"/>
      <right style="thin"/>
      <top style="hair"/>
      <bottom style="medium"/>
    </border>
    <border>
      <left style="medium"/>
      <right style="thin"/>
      <top style="thin"/>
      <bottom/>
    </border>
    <border>
      <left style="medium"/>
      <right style="thin"/>
      <top/>
      <bottom/>
    </border>
    <border>
      <left style="hair"/>
      <right style="medium"/>
      <top/>
      <bottom style="hair"/>
    </border>
    <border>
      <left style="hair"/>
      <right style="medium"/>
      <top style="hair"/>
      <bottom style="hair"/>
    </border>
    <border>
      <left style="hair"/>
      <right style="medium"/>
      <top style="hair"/>
      <bottom style="medium"/>
    </border>
    <border>
      <left/>
      <right style="hair"/>
      <top style="medium"/>
      <bottom style="hair"/>
    </border>
    <border>
      <left style="medium"/>
      <right style="thin"/>
      <top style="medium"/>
      <bottom style="hair"/>
    </border>
    <border>
      <left style="medium"/>
      <right style="thin"/>
      <top style="hair"/>
      <bottom style="hair"/>
    </border>
    <border>
      <left style="medium"/>
      <right style="thin"/>
      <top/>
      <bottom style="medium"/>
    </border>
    <border>
      <left style="hair"/>
      <right style="hair"/>
      <top style="medium"/>
      <bottom style="hair"/>
    </border>
    <border>
      <left style="hair"/>
      <right style="thin"/>
      <top style="medium"/>
      <bottom style="hair"/>
    </border>
    <border>
      <left style="hair"/>
      <right style="medium"/>
      <top style="medium"/>
      <bottom style="hair"/>
    </border>
    <border>
      <left style="hair"/>
      <right style="thin"/>
      <top style="hair"/>
      <bottom style="hair"/>
    </border>
    <border>
      <left style="hair"/>
      <right style="thin"/>
      <top style="hair"/>
      <bottom style="medium"/>
    </border>
    <border>
      <left style="hair"/>
      <right style="thin"/>
      <top style="thin"/>
      <bottom style="thin"/>
    </border>
    <border>
      <left style="hair"/>
      <right/>
      <top/>
      <bottom style="thin"/>
    </border>
    <border>
      <left style="hair"/>
      <right style="thin"/>
      <top style="hair"/>
      <bottom style="thin"/>
    </border>
    <border>
      <left/>
      <right/>
      <top/>
      <bottom style="thin"/>
    </border>
    <border>
      <left/>
      <right style="hair"/>
      <top style="thin"/>
      <bottom style="thin"/>
    </border>
    <border>
      <left style="thin"/>
      <right style="thin"/>
      <top/>
      <bottom/>
    </border>
    <border>
      <left/>
      <right/>
      <top/>
      <bottom style="hair"/>
    </border>
    <border>
      <left style="thin"/>
      <right style="thin"/>
      <top style="thin"/>
      <bottom/>
    </border>
    <border>
      <left/>
      <right/>
      <top style="thin"/>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4">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52" fillId="0" borderId="10" xfId="0" applyFont="1" applyBorder="1" applyAlignment="1">
      <alignment wrapText="1"/>
    </xf>
    <xf numFmtId="0" fontId="52" fillId="0" borderId="10" xfId="0" applyFont="1" applyBorder="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center"/>
    </xf>
    <xf numFmtId="0" fontId="0" fillId="33" borderId="10" xfId="0" applyFill="1" applyBorder="1" applyAlignment="1">
      <alignment/>
    </xf>
    <xf numFmtId="0" fontId="0" fillId="0" borderId="10" xfId="0" applyFont="1" applyBorder="1" applyAlignment="1">
      <alignment horizontal="center"/>
    </xf>
    <xf numFmtId="0" fontId="52" fillId="0" borderId="0" xfId="0" applyFont="1" applyBorder="1" applyAlignment="1">
      <alignment/>
    </xf>
    <xf numFmtId="0" fontId="0" fillId="0" borderId="10" xfId="0" applyFill="1" applyBorder="1" applyAlignment="1">
      <alignment/>
    </xf>
    <xf numFmtId="0" fontId="0" fillId="0" borderId="10" xfId="0" applyFill="1" applyBorder="1" applyAlignment="1">
      <alignment horizontal="center"/>
    </xf>
    <xf numFmtId="0" fontId="52" fillId="0" borderId="0" xfId="0" applyFont="1" applyFill="1" applyBorder="1" applyAlignment="1">
      <alignment/>
    </xf>
    <xf numFmtId="0" fontId="52"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52" fillId="0" borderId="0" xfId="0" applyFont="1" applyAlignment="1">
      <alignment/>
    </xf>
    <xf numFmtId="0" fontId="52" fillId="0" borderId="10" xfId="0" applyFont="1" applyFill="1" applyBorder="1" applyAlignment="1">
      <alignment/>
    </xf>
    <xf numFmtId="2" fontId="0" fillId="0" borderId="0" xfId="0" applyNumberFormat="1" applyAlignment="1">
      <alignment/>
    </xf>
    <xf numFmtId="2" fontId="54" fillId="0" borderId="0" xfId="0" applyNumberFormat="1" applyFont="1" applyAlignment="1">
      <alignment/>
    </xf>
    <xf numFmtId="0" fontId="55" fillId="0" borderId="0" xfId="0" applyFont="1" applyAlignment="1">
      <alignment horizontal="center" vertical="top" wrapText="1"/>
    </xf>
    <xf numFmtId="2" fontId="55" fillId="0" borderId="0" xfId="0" applyNumberFormat="1" applyFont="1" applyAlignment="1">
      <alignment/>
    </xf>
    <xf numFmtId="0" fontId="55" fillId="0" borderId="0" xfId="0" applyFont="1" applyAlignment="1">
      <alignment/>
    </xf>
    <xf numFmtId="1" fontId="0" fillId="0" borderId="0" xfId="0" applyNumberFormat="1" applyAlignment="1">
      <alignment/>
    </xf>
    <xf numFmtId="2" fontId="0" fillId="0" borderId="0" xfId="0" applyNumberFormat="1" applyFill="1" applyAlignment="1">
      <alignment/>
    </xf>
    <xf numFmtId="0" fontId="52" fillId="34" borderId="10" xfId="0" applyFont="1" applyFill="1" applyBorder="1" applyAlignment="1">
      <alignment wrapText="1"/>
    </xf>
    <xf numFmtId="2" fontId="55" fillId="0" borderId="11" xfId="0" applyNumberFormat="1" applyFont="1" applyBorder="1" applyAlignment="1">
      <alignment/>
    </xf>
    <xf numFmtId="0" fontId="0" fillId="34" borderId="10" xfId="0" applyFill="1" applyBorder="1" applyAlignment="1">
      <alignment horizontal="center"/>
    </xf>
    <xf numFmtId="0" fontId="55" fillId="0" borderId="12" xfId="0" applyFont="1" applyBorder="1" applyAlignment="1">
      <alignment/>
    </xf>
    <xf numFmtId="2" fontId="56" fillId="0" borderId="11" xfId="0" applyNumberFormat="1" applyFont="1" applyBorder="1" applyAlignment="1">
      <alignment/>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5" fillId="35" borderId="16" xfId="0" applyFont="1" applyFill="1" applyBorder="1" applyAlignment="1">
      <alignment horizontal="center" vertical="top" wrapText="1"/>
    </xf>
    <xf numFmtId="0" fontId="55" fillId="35" borderId="16" xfId="0" applyFont="1" applyFill="1" applyBorder="1" applyAlignment="1">
      <alignment/>
    </xf>
    <xf numFmtId="0" fontId="55" fillId="35" borderId="17" xfId="0" applyFont="1" applyFill="1" applyBorder="1" applyAlignment="1">
      <alignment/>
    </xf>
    <xf numFmtId="0" fontId="55" fillId="35" borderId="12" xfId="0" applyFont="1" applyFill="1" applyBorder="1" applyAlignment="1">
      <alignment/>
    </xf>
    <xf numFmtId="0" fontId="57" fillId="35" borderId="18" xfId="0" applyFont="1" applyFill="1" applyBorder="1" applyAlignment="1">
      <alignment/>
    </xf>
    <xf numFmtId="0" fontId="55" fillId="35" borderId="18" xfId="0" applyFont="1" applyFill="1" applyBorder="1" applyAlignment="1">
      <alignment/>
    </xf>
    <xf numFmtId="2" fontId="56" fillId="35" borderId="18" xfId="0" applyNumberFormat="1" applyFont="1" applyFill="1" applyBorder="1" applyAlignment="1">
      <alignment/>
    </xf>
    <xf numFmtId="0" fontId="55" fillId="35" borderId="19" xfId="0" applyFont="1" applyFill="1" applyBorder="1" applyAlignment="1">
      <alignment horizontal="center" vertical="top" wrapText="1"/>
    </xf>
    <xf numFmtId="0" fontId="55" fillId="35" borderId="19" xfId="0" applyFont="1" applyFill="1" applyBorder="1" applyAlignment="1">
      <alignment/>
    </xf>
    <xf numFmtId="0" fontId="57" fillId="35" borderId="0" xfId="0" applyFont="1" applyFill="1" applyBorder="1" applyAlignment="1">
      <alignment horizontal="center" vertical="top" wrapText="1"/>
    </xf>
    <xf numFmtId="0" fontId="55" fillId="35" borderId="0" xfId="0" applyFont="1" applyFill="1" applyBorder="1" applyAlignment="1">
      <alignment horizontal="center" vertical="top" wrapText="1"/>
    </xf>
    <xf numFmtId="0" fontId="57" fillId="35" borderId="0" xfId="0" applyFont="1" applyFill="1" applyBorder="1" applyAlignment="1">
      <alignment/>
    </xf>
    <xf numFmtId="0" fontId="55" fillId="35" borderId="0" xfId="0" applyFont="1" applyFill="1" applyBorder="1" applyAlignment="1">
      <alignment/>
    </xf>
    <xf numFmtId="2" fontId="55" fillId="35" borderId="0" xfId="0" applyNumberFormat="1" applyFont="1" applyFill="1" applyBorder="1" applyAlignment="1">
      <alignment/>
    </xf>
    <xf numFmtId="2" fontId="56" fillId="35" borderId="0" xfId="0" applyNumberFormat="1" applyFont="1" applyFill="1" applyBorder="1" applyAlignment="1">
      <alignment/>
    </xf>
    <xf numFmtId="0" fontId="55" fillId="35" borderId="20" xfId="0" applyFont="1" applyFill="1" applyBorder="1" applyAlignment="1">
      <alignment/>
    </xf>
    <xf numFmtId="0" fontId="55" fillId="35" borderId="21" xfId="0" applyFont="1" applyFill="1" applyBorder="1" applyAlignment="1">
      <alignment/>
    </xf>
    <xf numFmtId="0" fontId="55" fillId="35" borderId="22" xfId="0" applyFont="1" applyFill="1" applyBorder="1" applyAlignment="1">
      <alignment/>
    </xf>
    <xf numFmtId="0" fontId="55" fillId="35" borderId="23" xfId="0" applyFont="1" applyFill="1" applyBorder="1" applyAlignment="1">
      <alignment/>
    </xf>
    <xf numFmtId="2" fontId="55" fillId="0" borderId="24" xfId="0" applyNumberFormat="1" applyFont="1" applyBorder="1" applyAlignment="1">
      <alignment/>
    </xf>
    <xf numFmtId="2" fontId="56" fillId="0" borderId="25" xfId="0" applyNumberFormat="1" applyFont="1" applyBorder="1" applyAlignment="1">
      <alignment/>
    </xf>
    <xf numFmtId="1" fontId="55" fillId="0" borderId="24" xfId="0" applyNumberFormat="1" applyFont="1" applyBorder="1" applyAlignment="1">
      <alignment/>
    </xf>
    <xf numFmtId="2" fontId="56" fillId="0" borderId="26" xfId="0" applyNumberFormat="1" applyFont="1" applyBorder="1" applyAlignment="1">
      <alignment/>
    </xf>
    <xf numFmtId="2" fontId="56" fillId="0" borderId="27" xfId="0" applyNumberFormat="1" applyFont="1" applyBorder="1" applyAlignment="1">
      <alignment/>
    </xf>
    <xf numFmtId="0" fontId="55" fillId="35" borderId="28" xfId="0" applyFont="1" applyFill="1" applyBorder="1" applyAlignment="1">
      <alignment/>
    </xf>
    <xf numFmtId="2" fontId="56" fillId="0" borderId="29" xfId="0" applyNumberFormat="1" applyFont="1" applyBorder="1" applyAlignment="1">
      <alignment/>
    </xf>
    <xf numFmtId="2" fontId="56" fillId="0" borderId="24" xfId="0" applyNumberFormat="1" applyFont="1" applyBorder="1" applyAlignment="1">
      <alignment/>
    </xf>
    <xf numFmtId="2" fontId="56" fillId="0" borderId="30" xfId="0" applyNumberFormat="1" applyFont="1" applyBorder="1" applyAlignment="1">
      <alignment/>
    </xf>
    <xf numFmtId="2" fontId="55" fillId="35" borderId="31" xfId="0" applyNumberFormat="1" applyFont="1" applyFill="1" applyBorder="1" applyAlignment="1">
      <alignment/>
    </xf>
    <xf numFmtId="0" fontId="55" fillId="35" borderId="31" xfId="0" applyFont="1" applyFill="1" applyBorder="1" applyAlignment="1">
      <alignment/>
    </xf>
    <xf numFmtId="0" fontId="55" fillId="35" borderId="32" xfId="0" applyFont="1" applyFill="1" applyBorder="1" applyAlignment="1">
      <alignment/>
    </xf>
    <xf numFmtId="2" fontId="56" fillId="0" borderId="33" xfId="0" applyNumberFormat="1" applyFont="1" applyBorder="1" applyAlignment="1">
      <alignment/>
    </xf>
    <xf numFmtId="0" fontId="55" fillId="35" borderId="34" xfId="0" applyFont="1" applyFill="1" applyBorder="1" applyAlignment="1">
      <alignment/>
    </xf>
    <xf numFmtId="0" fontId="57" fillId="5" borderId="35" xfId="0" applyFont="1" applyFill="1" applyBorder="1" applyAlignment="1">
      <alignment/>
    </xf>
    <xf numFmtId="0" fontId="57" fillId="5" borderId="36" xfId="0" applyFont="1" applyFill="1" applyBorder="1" applyAlignment="1">
      <alignment/>
    </xf>
    <xf numFmtId="0" fontId="58" fillId="5" borderId="37" xfId="0" applyFont="1" applyFill="1" applyBorder="1" applyAlignment="1">
      <alignment/>
    </xf>
    <xf numFmtId="0" fontId="59" fillId="5" borderId="29" xfId="0" applyFont="1" applyFill="1" applyBorder="1" applyAlignment="1">
      <alignment/>
    </xf>
    <xf numFmtId="0" fontId="59" fillId="5" borderId="38" xfId="0" applyFont="1" applyFill="1" applyBorder="1" applyAlignment="1">
      <alignment/>
    </xf>
    <xf numFmtId="2" fontId="55" fillId="5" borderId="39" xfId="0" applyNumberFormat="1" applyFont="1" applyFill="1" applyBorder="1" applyAlignment="1">
      <alignment/>
    </xf>
    <xf numFmtId="2" fontId="55" fillId="5" borderId="24" xfId="0" applyNumberFormat="1" applyFont="1" applyFill="1" applyBorder="1" applyAlignment="1">
      <alignment/>
    </xf>
    <xf numFmtId="0" fontId="55" fillId="35" borderId="0" xfId="0" applyFont="1" applyFill="1" applyBorder="1" applyAlignment="1">
      <alignment horizontal="right"/>
    </xf>
    <xf numFmtId="0" fontId="57" fillId="35" borderId="21" xfId="0" applyFont="1" applyFill="1" applyBorder="1" applyAlignment="1">
      <alignment/>
    </xf>
    <xf numFmtId="0" fontId="57" fillId="0" borderId="35" xfId="0" applyFont="1" applyBorder="1" applyAlignment="1">
      <alignment horizontal="center"/>
    </xf>
    <xf numFmtId="0" fontId="57" fillId="0" borderId="36" xfId="0" applyFont="1" applyBorder="1" applyAlignment="1">
      <alignment horizontal="center"/>
    </xf>
    <xf numFmtId="0" fontId="57" fillId="0" borderId="37" xfId="0" applyFont="1" applyBorder="1" applyAlignment="1">
      <alignment horizontal="center"/>
    </xf>
    <xf numFmtId="2" fontId="56" fillId="0" borderId="40" xfId="0" applyNumberFormat="1" applyFont="1" applyBorder="1" applyAlignment="1">
      <alignment/>
    </xf>
    <xf numFmtId="0" fontId="57" fillId="35" borderId="0" xfId="0" applyFont="1" applyFill="1" applyBorder="1" applyAlignment="1">
      <alignment horizontal="right"/>
    </xf>
    <xf numFmtId="2" fontId="55" fillId="5" borderId="11" xfId="0" applyNumberFormat="1" applyFont="1" applyFill="1" applyBorder="1" applyAlignment="1">
      <alignment/>
    </xf>
    <xf numFmtId="2" fontId="55" fillId="5" borderId="41" xfId="0" applyNumberFormat="1" applyFont="1" applyFill="1" applyBorder="1" applyAlignment="1">
      <alignment/>
    </xf>
    <xf numFmtId="2" fontId="56" fillId="5" borderId="25" xfId="0" applyNumberFormat="1" applyFont="1" applyFill="1" applyBorder="1" applyAlignment="1">
      <alignment/>
    </xf>
    <xf numFmtId="2" fontId="56" fillId="5" borderId="42" xfId="0" applyNumberFormat="1" applyFont="1" applyFill="1" applyBorder="1" applyAlignment="1">
      <alignment/>
    </xf>
    <xf numFmtId="0" fontId="59" fillId="5" borderId="30" xfId="0" applyFont="1" applyFill="1" applyBorder="1" applyAlignment="1">
      <alignment/>
    </xf>
    <xf numFmtId="2" fontId="55" fillId="5" borderId="43" xfId="0" applyNumberFormat="1" applyFont="1" applyFill="1" applyBorder="1" applyAlignment="1">
      <alignment/>
    </xf>
    <xf numFmtId="2" fontId="55" fillId="5" borderId="44" xfId="0" applyNumberFormat="1" applyFont="1" applyFill="1" applyBorder="1" applyAlignment="1">
      <alignment/>
    </xf>
    <xf numFmtId="0" fontId="58" fillId="5" borderId="10" xfId="0" applyFont="1" applyFill="1" applyBorder="1" applyAlignment="1">
      <alignment/>
    </xf>
    <xf numFmtId="0" fontId="60" fillId="35" borderId="0" xfId="0" applyFont="1" applyFill="1" applyBorder="1" applyAlignment="1">
      <alignment horizontal="left"/>
    </xf>
    <xf numFmtId="2" fontId="55" fillId="5" borderId="10" xfId="0" applyNumberFormat="1" applyFont="1" applyFill="1" applyBorder="1" applyAlignment="1">
      <alignment/>
    </xf>
    <xf numFmtId="0" fontId="60" fillId="35" borderId="0" xfId="0" applyFont="1" applyFill="1" applyBorder="1" applyAlignment="1">
      <alignment/>
    </xf>
    <xf numFmtId="0" fontId="0" fillId="0" borderId="11" xfId="0" applyBorder="1" applyAlignment="1">
      <alignment/>
    </xf>
    <xf numFmtId="1" fontId="54" fillId="0" borderId="11" xfId="0" applyNumberFormat="1" applyFont="1" applyBorder="1" applyAlignment="1">
      <alignment/>
    </xf>
    <xf numFmtId="0" fontId="54" fillId="0" borderId="11" xfId="0" applyFont="1" applyBorder="1" applyAlignment="1">
      <alignment/>
    </xf>
    <xf numFmtId="0" fontId="0" fillId="0" borderId="45" xfId="0" applyBorder="1" applyAlignment="1">
      <alignment/>
    </xf>
    <xf numFmtId="0" fontId="0" fillId="0" borderId="46" xfId="0" applyBorder="1" applyAlignment="1">
      <alignment/>
    </xf>
    <xf numFmtId="1" fontId="54" fillId="0" borderId="46" xfId="0" applyNumberFormat="1" applyFont="1" applyBorder="1" applyAlignment="1">
      <alignment/>
    </xf>
    <xf numFmtId="0" fontId="54" fillId="0" borderId="46" xfId="0" applyFont="1" applyBorder="1" applyAlignment="1">
      <alignment/>
    </xf>
    <xf numFmtId="0" fontId="52" fillId="0" borderId="47" xfId="0" applyFont="1" applyBorder="1" applyAlignment="1">
      <alignment horizontal="left" vertical="top"/>
    </xf>
    <xf numFmtId="0" fontId="52" fillId="0" borderId="47" xfId="0" applyFont="1" applyBorder="1" applyAlignment="1">
      <alignment horizontal="left" vertical="top" wrapText="1"/>
    </xf>
    <xf numFmtId="1" fontId="52" fillId="0" borderId="47" xfId="0" applyNumberFormat="1" applyFont="1" applyBorder="1" applyAlignment="1">
      <alignment horizontal="left" vertical="top" wrapText="1"/>
    </xf>
    <xf numFmtId="2" fontId="52" fillId="0" borderId="47" xfId="0" applyNumberFormat="1" applyFont="1" applyBorder="1" applyAlignment="1">
      <alignment horizontal="left" vertical="top" wrapText="1"/>
    </xf>
    <xf numFmtId="2" fontId="52" fillId="0" borderId="48" xfId="0" applyNumberFormat="1" applyFont="1" applyBorder="1" applyAlignment="1">
      <alignment horizontal="left" vertical="top" wrapText="1"/>
    </xf>
    <xf numFmtId="0" fontId="52" fillId="0" borderId="49" xfId="0" applyFont="1" applyBorder="1" applyAlignment="1">
      <alignment horizontal="left" vertical="top"/>
    </xf>
    <xf numFmtId="0" fontId="56" fillId="0" borderId="50" xfId="0" applyFont="1" applyBorder="1" applyAlignment="1">
      <alignment/>
    </xf>
    <xf numFmtId="0" fontId="56" fillId="0" borderId="51" xfId="0" applyFont="1" applyBorder="1" applyAlignment="1">
      <alignment/>
    </xf>
    <xf numFmtId="0" fontId="55" fillId="0" borderId="51" xfId="0" applyFont="1" applyBorder="1" applyAlignment="1">
      <alignment/>
    </xf>
    <xf numFmtId="0" fontId="55" fillId="0" borderId="52" xfId="0" applyFont="1" applyBorder="1" applyAlignment="1">
      <alignment/>
    </xf>
    <xf numFmtId="0" fontId="0" fillId="0" borderId="53" xfId="0" applyBorder="1" applyAlignment="1">
      <alignment/>
    </xf>
    <xf numFmtId="0" fontId="55" fillId="0" borderId="54" xfId="0" applyFont="1" applyBorder="1" applyAlignment="1">
      <alignment/>
    </xf>
    <xf numFmtId="0" fontId="55" fillId="0" borderId="55" xfId="0" applyFont="1" applyBorder="1" applyAlignment="1">
      <alignment/>
    </xf>
    <xf numFmtId="0" fontId="55" fillId="0" borderId="56" xfId="0" applyFont="1" applyBorder="1" applyAlignment="1">
      <alignment/>
    </xf>
    <xf numFmtId="0" fontId="55" fillId="0" borderId="57" xfId="0" applyFont="1" applyBorder="1" applyAlignment="1">
      <alignment/>
    </xf>
    <xf numFmtId="1" fontId="54" fillId="0" borderId="45" xfId="0" applyNumberFormat="1" applyFont="1" applyBorder="1" applyAlignment="1">
      <alignment/>
    </xf>
    <xf numFmtId="0" fontId="54" fillId="0" borderId="45" xfId="0" applyFont="1" applyBorder="1" applyAlignment="1">
      <alignment/>
    </xf>
    <xf numFmtId="2" fontId="54" fillId="0" borderId="46" xfId="0" applyNumberFormat="1" applyFont="1" applyBorder="1" applyAlignment="1">
      <alignment/>
    </xf>
    <xf numFmtId="2" fontId="54" fillId="0" borderId="11" xfId="0" applyNumberFormat="1" applyFont="1" applyBorder="1" applyAlignment="1">
      <alignment/>
    </xf>
    <xf numFmtId="2" fontId="54" fillId="0" borderId="45" xfId="0" applyNumberFormat="1" applyFont="1" applyBorder="1" applyAlignment="1">
      <alignment/>
    </xf>
    <xf numFmtId="2" fontId="54" fillId="0" borderId="58" xfId="0" applyNumberFormat="1" applyFont="1" applyBorder="1" applyAlignment="1">
      <alignment/>
    </xf>
    <xf numFmtId="2" fontId="54" fillId="0" borderId="59" xfId="0" applyNumberFormat="1" applyFont="1" applyFill="1" applyBorder="1" applyAlignment="1">
      <alignment/>
    </xf>
    <xf numFmtId="2" fontId="54" fillId="0" borderId="59" xfId="0" applyNumberFormat="1" applyFont="1" applyBorder="1" applyAlignment="1">
      <alignment/>
    </xf>
    <xf numFmtId="2" fontId="54" fillId="0" borderId="60" xfId="0" applyNumberFormat="1" applyFont="1" applyBorder="1" applyAlignment="1">
      <alignment/>
    </xf>
    <xf numFmtId="0" fontId="56" fillId="0" borderId="52" xfId="0" applyFont="1" applyBorder="1" applyAlignment="1">
      <alignment/>
    </xf>
    <xf numFmtId="0" fontId="52" fillId="0" borderId="49" xfId="0" applyFont="1" applyBorder="1" applyAlignment="1">
      <alignment horizontal="left" vertical="top" wrapText="1"/>
    </xf>
    <xf numFmtId="0" fontId="52" fillId="0" borderId="48" xfId="0" applyFont="1" applyBorder="1" applyAlignment="1">
      <alignment horizontal="left" vertical="top" wrapText="1"/>
    </xf>
    <xf numFmtId="0" fontId="0" fillId="0" borderId="61" xfId="0" applyBorder="1" applyAlignment="1">
      <alignment/>
    </xf>
    <xf numFmtId="0" fontId="0" fillId="0" borderId="51" xfId="0" applyBorder="1" applyAlignment="1">
      <alignment/>
    </xf>
    <xf numFmtId="0" fontId="0" fillId="0" borderId="52" xfId="0" applyBorder="1" applyAlignment="1">
      <alignment/>
    </xf>
    <xf numFmtId="0" fontId="0" fillId="35" borderId="62" xfId="0" applyFill="1" applyBorder="1" applyAlignment="1">
      <alignment/>
    </xf>
    <xf numFmtId="0" fontId="0" fillId="35" borderId="63" xfId="0" applyFill="1" applyBorder="1" applyAlignment="1">
      <alignment/>
    </xf>
    <xf numFmtId="0" fontId="0" fillId="35" borderId="55" xfId="0" applyFill="1" applyBorder="1" applyAlignment="1">
      <alignment/>
    </xf>
    <xf numFmtId="2" fontId="54" fillId="5" borderId="46" xfId="0" applyNumberFormat="1" applyFont="1" applyFill="1" applyBorder="1" applyAlignment="1">
      <alignment/>
    </xf>
    <xf numFmtId="2" fontId="54" fillId="5" borderId="58" xfId="0" applyNumberFormat="1" applyFont="1" applyFill="1" applyBorder="1" applyAlignment="1">
      <alignment/>
    </xf>
    <xf numFmtId="2" fontId="54" fillId="5" borderId="11" xfId="0" applyNumberFormat="1" applyFont="1" applyFill="1" applyBorder="1" applyAlignment="1">
      <alignment/>
    </xf>
    <xf numFmtId="2" fontId="54" fillId="5" borderId="59" xfId="0" applyNumberFormat="1" applyFont="1" applyFill="1" applyBorder="1" applyAlignment="1">
      <alignment/>
    </xf>
    <xf numFmtId="2" fontId="54" fillId="5" borderId="45" xfId="0" applyNumberFormat="1" applyFont="1" applyFill="1" applyBorder="1" applyAlignment="1">
      <alignment/>
    </xf>
    <xf numFmtId="2" fontId="54" fillId="5" borderId="60" xfId="0" applyNumberFormat="1" applyFont="1" applyFill="1" applyBorder="1" applyAlignment="1">
      <alignment/>
    </xf>
    <xf numFmtId="0" fontId="55" fillId="35" borderId="56" xfId="0" applyFont="1" applyFill="1" applyBorder="1" applyAlignment="1">
      <alignment/>
    </xf>
    <xf numFmtId="0" fontId="55" fillId="35" borderId="57" xfId="0" applyFont="1" applyFill="1" applyBorder="1" applyAlignment="1">
      <alignment/>
    </xf>
    <xf numFmtId="0" fontId="55" fillId="35" borderId="54" xfId="0" applyFont="1" applyFill="1" applyBorder="1" applyAlignment="1">
      <alignment/>
    </xf>
    <xf numFmtId="0" fontId="55" fillId="35" borderId="55" xfId="0" applyFont="1" applyFill="1" applyBorder="1" applyAlignment="1">
      <alignment/>
    </xf>
    <xf numFmtId="0" fontId="55" fillId="35" borderId="64" xfId="0" applyFont="1" applyFill="1" applyBorder="1" applyAlignment="1">
      <alignment/>
    </xf>
    <xf numFmtId="0" fontId="54" fillId="0" borderId="65" xfId="0" applyFont="1" applyBorder="1" applyAlignment="1">
      <alignment/>
    </xf>
    <xf numFmtId="0" fontId="54" fillId="0" borderId="66" xfId="0" applyFont="1" applyBorder="1" applyAlignment="1">
      <alignment/>
    </xf>
    <xf numFmtId="2" fontId="54" fillId="5" borderId="61" xfId="0" applyNumberFormat="1" applyFont="1" applyFill="1" applyBorder="1" applyAlignment="1">
      <alignment/>
    </xf>
    <xf numFmtId="2" fontId="54" fillId="5" borderId="67" xfId="0" applyNumberFormat="1" applyFont="1" applyFill="1" applyBorder="1" applyAlignment="1">
      <alignment/>
    </xf>
    <xf numFmtId="0" fontId="54" fillId="0" borderId="68" xfId="0" applyFont="1" applyBorder="1" applyAlignment="1">
      <alignment/>
    </xf>
    <xf numFmtId="2" fontId="54" fillId="5" borderId="51" xfId="0" applyNumberFormat="1" applyFont="1" applyFill="1" applyBorder="1" applyAlignment="1">
      <alignment/>
    </xf>
    <xf numFmtId="0" fontId="54" fillId="0" borderId="69" xfId="0" applyFont="1" applyBorder="1" applyAlignment="1">
      <alignment/>
    </xf>
    <xf numFmtId="2" fontId="54" fillId="5" borderId="52" xfId="0" applyNumberFormat="1" applyFont="1" applyFill="1" applyBorder="1" applyAlignment="1">
      <alignment/>
    </xf>
    <xf numFmtId="0" fontId="54" fillId="0" borderId="61" xfId="0" applyFont="1" applyBorder="1" applyAlignment="1">
      <alignment/>
    </xf>
    <xf numFmtId="0" fontId="54" fillId="0" borderId="51" xfId="0" applyFont="1" applyBorder="1" applyAlignment="1">
      <alignment/>
    </xf>
    <xf numFmtId="0" fontId="54" fillId="0" borderId="52" xfId="0" applyFont="1" applyBorder="1" applyAlignment="1">
      <alignment/>
    </xf>
    <xf numFmtId="2" fontId="56" fillId="34" borderId="70" xfId="0" applyNumberFormat="1" applyFont="1" applyFill="1" applyBorder="1" applyAlignment="1">
      <alignment horizontal="right"/>
    </xf>
    <xf numFmtId="2" fontId="61" fillId="5" borderId="11" xfId="0" applyNumberFormat="1" applyFont="1" applyFill="1" applyBorder="1" applyAlignment="1">
      <alignment/>
    </xf>
    <xf numFmtId="0" fontId="58" fillId="5" borderId="0" xfId="0" applyFont="1" applyFill="1" applyBorder="1" applyAlignment="1">
      <alignment/>
    </xf>
    <xf numFmtId="2" fontId="61" fillId="5" borderId="0" xfId="0" applyNumberFormat="1" applyFont="1" applyFill="1" applyBorder="1" applyAlignment="1">
      <alignment/>
    </xf>
    <xf numFmtId="2" fontId="61" fillId="34" borderId="0" xfId="0" applyNumberFormat="1" applyFont="1" applyFill="1" applyBorder="1" applyAlignment="1">
      <alignment/>
    </xf>
    <xf numFmtId="0" fontId="17" fillId="35" borderId="0" xfId="0" applyFont="1" applyFill="1" applyBorder="1" applyAlignment="1">
      <alignment horizontal="left"/>
    </xf>
    <xf numFmtId="0" fontId="18" fillId="35" borderId="0" xfId="0" applyFont="1" applyFill="1" applyBorder="1" applyAlignment="1">
      <alignment/>
    </xf>
    <xf numFmtId="1" fontId="18" fillId="0" borderId="27" xfId="0" applyNumberFormat="1" applyFont="1" applyBorder="1" applyAlignment="1">
      <alignment/>
    </xf>
    <xf numFmtId="1" fontId="18" fillId="0" borderId="25" xfId="0" applyNumberFormat="1" applyFont="1" applyBorder="1" applyAlignment="1">
      <alignment/>
    </xf>
    <xf numFmtId="2" fontId="18" fillId="5" borderId="0" xfId="0" applyNumberFormat="1" applyFont="1" applyFill="1" applyBorder="1" applyAlignment="1">
      <alignment/>
    </xf>
    <xf numFmtId="2" fontId="18" fillId="0" borderId="27" xfId="0" applyNumberFormat="1" applyFont="1" applyBorder="1" applyAlignment="1">
      <alignment/>
    </xf>
    <xf numFmtId="2" fontId="18" fillId="0" borderId="25" xfId="0" applyNumberFormat="1" applyFont="1" applyBorder="1" applyAlignment="1">
      <alignment/>
    </xf>
    <xf numFmtId="2" fontId="56" fillId="34" borderId="71" xfId="0" applyNumberFormat="1" applyFont="1" applyFill="1" applyBorder="1" applyAlignment="1">
      <alignment/>
    </xf>
    <xf numFmtId="2" fontId="56" fillId="34" borderId="43" xfId="0" applyNumberFormat="1" applyFont="1" applyFill="1" applyBorder="1" applyAlignment="1">
      <alignment/>
    </xf>
    <xf numFmtId="2" fontId="56" fillId="34" borderId="68" xfId="0" applyNumberFormat="1" applyFont="1" applyFill="1" applyBorder="1" applyAlignment="1">
      <alignment/>
    </xf>
    <xf numFmtId="2" fontId="56" fillId="34" borderId="72" xfId="0" applyNumberFormat="1" applyFont="1" applyFill="1" applyBorder="1" applyAlignment="1">
      <alignment/>
    </xf>
    <xf numFmtId="1" fontId="18" fillId="0" borderId="10" xfId="0" applyNumberFormat="1" applyFont="1" applyBorder="1" applyAlignment="1">
      <alignment/>
    </xf>
    <xf numFmtId="2" fontId="55" fillId="35" borderId="73" xfId="0" applyNumberFormat="1" applyFont="1" applyFill="1" applyBorder="1" applyAlignment="1">
      <alignment/>
    </xf>
    <xf numFmtId="2" fontId="56" fillId="34" borderId="73" xfId="0" applyNumberFormat="1" applyFont="1" applyFill="1" applyBorder="1" applyAlignment="1">
      <alignment/>
    </xf>
    <xf numFmtId="2" fontId="56" fillId="0" borderId="10" xfId="0" applyNumberFormat="1" applyFont="1" applyBorder="1" applyAlignment="1">
      <alignment/>
    </xf>
    <xf numFmtId="1" fontId="18" fillId="0" borderId="26" xfId="0" applyNumberFormat="1" applyFont="1" applyBorder="1" applyAlignment="1">
      <alignment/>
    </xf>
    <xf numFmtId="1" fontId="18" fillId="0" borderId="70" xfId="0" applyNumberFormat="1" applyFont="1" applyBorder="1" applyAlignment="1">
      <alignment/>
    </xf>
    <xf numFmtId="1" fontId="18" fillId="0" borderId="74" xfId="0" applyNumberFormat="1" applyFont="1" applyBorder="1" applyAlignment="1">
      <alignment/>
    </xf>
    <xf numFmtId="2" fontId="55" fillId="35" borderId="75" xfId="0" applyNumberFormat="1" applyFont="1" applyFill="1" applyBorder="1" applyAlignment="1">
      <alignment/>
    </xf>
    <xf numFmtId="0" fontId="57" fillId="0" borderId="76" xfId="0" applyFont="1" applyFill="1" applyBorder="1" applyAlignment="1">
      <alignment/>
    </xf>
    <xf numFmtId="2" fontId="0" fillId="0" borderId="10" xfId="0" applyNumberFormat="1" applyBorder="1" applyAlignment="1">
      <alignment/>
    </xf>
    <xf numFmtId="2" fontId="52" fillId="0" borderId="10" xfId="0" applyNumberFormat="1" applyFont="1" applyBorder="1" applyAlignment="1">
      <alignment/>
    </xf>
    <xf numFmtId="0" fontId="57" fillId="0" borderId="10" xfId="0" applyFont="1" applyBorder="1" applyAlignment="1">
      <alignment/>
    </xf>
    <xf numFmtId="1" fontId="52" fillId="0" borderId="10" xfId="0" applyNumberFormat="1" applyFont="1" applyBorder="1" applyAlignment="1">
      <alignment/>
    </xf>
    <xf numFmtId="2" fontId="62" fillId="0" borderId="10" xfId="0" applyNumberFormat="1" applyFont="1" applyBorder="1" applyAlignment="1">
      <alignment/>
    </xf>
    <xf numFmtId="1" fontId="20" fillId="0" borderId="10" xfId="0" applyNumberFormat="1" applyFont="1" applyBorder="1" applyAlignment="1">
      <alignment/>
    </xf>
    <xf numFmtId="2" fontId="63" fillId="0" borderId="10" xfId="0" applyNumberFormat="1" applyFont="1" applyBorder="1" applyAlignment="1">
      <alignment/>
    </xf>
    <xf numFmtId="2" fontId="20" fillId="0" borderId="10" xfId="0" applyNumberFormat="1" applyFont="1" applyBorder="1" applyAlignment="1">
      <alignment/>
    </xf>
    <xf numFmtId="1" fontId="63" fillId="0" borderId="10" xfId="0" applyNumberFormat="1" applyFont="1" applyBorder="1" applyAlignment="1">
      <alignment/>
    </xf>
    <xf numFmtId="0" fontId="62" fillId="0" borderId="10" xfId="0" applyFont="1" applyBorder="1" applyAlignment="1">
      <alignment/>
    </xf>
    <xf numFmtId="0" fontId="57" fillId="34" borderId="10" xfId="0" applyFont="1" applyFill="1" applyBorder="1" applyAlignment="1">
      <alignment horizontal="center" vertical="center" wrapText="1"/>
    </xf>
    <xf numFmtId="1" fontId="57" fillId="34" borderId="10" xfId="0" applyNumberFormat="1" applyFont="1" applyFill="1" applyBorder="1" applyAlignment="1">
      <alignment horizontal="center" vertical="center" wrapText="1"/>
    </xf>
    <xf numFmtId="2" fontId="52" fillId="34" borderId="10" xfId="0" applyNumberFormat="1" applyFont="1" applyFill="1" applyBorder="1" applyAlignment="1">
      <alignment/>
    </xf>
    <xf numFmtId="1" fontId="0" fillId="34" borderId="10" xfId="0" applyNumberFormat="1" applyFill="1" applyBorder="1" applyAlignment="1">
      <alignment/>
    </xf>
    <xf numFmtId="0" fontId="0" fillId="34" borderId="10" xfId="0" applyFill="1" applyBorder="1" applyAlignment="1">
      <alignment/>
    </xf>
    <xf numFmtId="2" fontId="52" fillId="34" borderId="10" xfId="0" applyNumberFormat="1" applyFont="1" applyFill="1" applyBorder="1" applyAlignment="1">
      <alignment horizontal="right"/>
    </xf>
    <xf numFmtId="1" fontId="52" fillId="34" borderId="10" xfId="0" applyNumberFormat="1" applyFont="1" applyFill="1" applyBorder="1" applyAlignment="1">
      <alignment/>
    </xf>
    <xf numFmtId="0" fontId="52" fillId="0" borderId="77" xfId="0" applyFont="1" applyBorder="1" applyAlignment="1">
      <alignment/>
    </xf>
    <xf numFmtId="0" fontId="62" fillId="0" borderId="77" xfId="0" applyFont="1" applyBorder="1" applyAlignment="1">
      <alignment/>
    </xf>
    <xf numFmtId="2" fontId="62" fillId="0" borderId="0" xfId="0" applyNumberFormat="1" applyFont="1" applyBorder="1" applyAlignment="1">
      <alignment/>
    </xf>
    <xf numFmtId="0" fontId="52" fillId="0" borderId="78" xfId="0" applyFont="1" applyFill="1" applyBorder="1" applyAlignment="1">
      <alignment/>
    </xf>
    <xf numFmtId="2" fontId="62" fillId="0" borderId="78" xfId="0" applyNumberFormat="1" applyFont="1" applyBorder="1" applyAlignment="1">
      <alignment/>
    </xf>
    <xf numFmtId="0" fontId="0" fillId="0" borderId="78" xfId="0" applyBorder="1" applyAlignment="1">
      <alignment/>
    </xf>
    <xf numFmtId="2" fontId="62" fillId="0" borderId="77" xfId="0" applyNumberFormat="1" applyFont="1" applyBorder="1" applyAlignment="1">
      <alignment/>
    </xf>
    <xf numFmtId="0" fontId="57" fillId="35" borderId="79" xfId="0" applyFont="1" applyFill="1" applyBorder="1" applyAlignment="1">
      <alignment/>
    </xf>
    <xf numFmtId="0" fontId="57" fillId="0" borderId="0" xfId="0" applyFont="1" applyFill="1" applyBorder="1" applyAlignment="1">
      <alignment horizontal="center" vertical="center" wrapText="1"/>
    </xf>
    <xf numFmtId="2" fontId="52" fillId="0" borderId="0" xfId="0" applyNumberFormat="1" applyFont="1" applyFill="1" applyBorder="1" applyAlignment="1">
      <alignment/>
    </xf>
    <xf numFmtId="0" fontId="64" fillId="0" borderId="0" xfId="0" applyFont="1" applyAlignment="1">
      <alignment vertical="center"/>
    </xf>
    <xf numFmtId="0" fontId="65" fillId="0" borderId="0" xfId="0" applyFont="1" applyAlignment="1">
      <alignment horizontal="justify" vertical="center"/>
    </xf>
    <xf numFmtId="0" fontId="0" fillId="0" borderId="0" xfId="0" applyAlignment="1">
      <alignment wrapText="1"/>
    </xf>
    <xf numFmtId="0" fontId="0" fillId="33" borderId="10" xfId="0" applyFill="1" applyBorder="1" applyAlignment="1">
      <alignment wrapText="1"/>
    </xf>
    <xf numFmtId="0" fontId="0" fillId="0" borderId="10" xfId="0" applyBorder="1" applyAlignment="1">
      <alignment horizontal="center" wrapText="1"/>
    </xf>
    <xf numFmtId="0" fontId="0" fillId="0" borderId="0" xfId="0" applyFill="1" applyBorder="1" applyAlignment="1">
      <alignment horizontal="center" wrapText="1"/>
    </xf>
    <xf numFmtId="0" fontId="0" fillId="0" borderId="0" xfId="0" applyBorder="1" applyAlignment="1">
      <alignment wrapText="1"/>
    </xf>
    <xf numFmtId="0" fontId="22" fillId="0" borderId="10" xfId="0" applyFont="1" applyBorder="1" applyAlignment="1">
      <alignment horizontal="center" wrapText="1"/>
    </xf>
    <xf numFmtId="0" fontId="23" fillId="5" borderId="10" xfId="0" applyFont="1" applyFill="1" applyBorder="1" applyAlignment="1">
      <alignment/>
    </xf>
    <xf numFmtId="0" fontId="0" fillId="0" borderId="0" xfId="0" applyAlignment="1">
      <alignment/>
    </xf>
    <xf numFmtId="0" fontId="0" fillId="33" borderId="10" xfId="0" applyFill="1" applyBorder="1" applyAlignment="1">
      <alignment/>
    </xf>
    <xf numFmtId="0" fontId="52" fillId="0" borderId="10" xfId="0" applyFont="1" applyBorder="1" applyAlignment="1">
      <alignment/>
    </xf>
    <xf numFmtId="0" fontId="0" fillId="0" borderId="0" xfId="0" applyFill="1" applyBorder="1" applyAlignment="1">
      <alignment/>
    </xf>
    <xf numFmtId="0" fontId="52" fillId="0" borderId="0" xfId="0" applyFont="1" applyFill="1" applyBorder="1" applyAlignment="1">
      <alignment/>
    </xf>
    <xf numFmtId="0" fontId="0" fillId="0" borderId="10" xfId="0" applyFill="1" applyBorder="1" applyAlignment="1">
      <alignment horizontal="center" wrapText="1"/>
    </xf>
    <xf numFmtId="0" fontId="57"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3"/>
  <sheetViews>
    <sheetView zoomScale="115" zoomScaleNormal="115" zoomScalePageLayoutView="0" workbookViewId="0" topLeftCell="A1">
      <selection activeCell="A24" sqref="A24"/>
    </sheetView>
  </sheetViews>
  <sheetFormatPr defaultColWidth="9.140625" defaultRowHeight="15"/>
  <cols>
    <col min="1" max="1" width="130.28125" style="0" customWidth="1"/>
    <col min="2" max="2" width="10.57421875" style="0" customWidth="1"/>
  </cols>
  <sheetData>
    <row r="1" spans="1:2" ht="15.75">
      <c r="A1" s="208" t="s">
        <v>194</v>
      </c>
      <c r="B1" s="19"/>
    </row>
    <row r="2" ht="15">
      <c r="A2" s="209" t="s">
        <v>195</v>
      </c>
    </row>
    <row r="3" ht="15">
      <c r="A3" s="209" t="s">
        <v>196</v>
      </c>
    </row>
    <row r="4" ht="15">
      <c r="A4" s="209" t="s">
        <v>197</v>
      </c>
    </row>
    <row r="5" ht="15">
      <c r="A5" s="209" t="s">
        <v>198</v>
      </c>
    </row>
    <row r="6" ht="15">
      <c r="A6" s="209" t="s">
        <v>199</v>
      </c>
    </row>
    <row r="7" ht="15">
      <c r="A7" s="209" t="s">
        <v>200</v>
      </c>
    </row>
    <row r="8" ht="30">
      <c r="A8" s="209" t="s">
        <v>201</v>
      </c>
    </row>
    <row r="9" ht="30.75">
      <c r="A9" s="209" t="s">
        <v>202</v>
      </c>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sheetPr>
  <dimension ref="A1:X125"/>
  <sheetViews>
    <sheetView view="pageBreakPreview" zoomScale="60" zoomScaleNormal="70" zoomScalePageLayoutView="0" workbookViewId="0" topLeftCell="A1">
      <selection activeCell="K30" sqref="K30"/>
    </sheetView>
  </sheetViews>
  <sheetFormatPr defaultColWidth="9.140625" defaultRowHeight="15"/>
  <cols>
    <col min="1" max="1" width="29.57421875" style="0" customWidth="1"/>
    <col min="3" max="3" width="19.140625" style="0" bestFit="1" customWidth="1"/>
    <col min="4" max="4" width="24.421875" style="0" bestFit="1" customWidth="1"/>
    <col min="5" max="5" width="15.7109375" style="0" bestFit="1" customWidth="1"/>
    <col min="8" max="8" width="12.00390625" style="0" customWidth="1"/>
    <col min="9" max="9" width="13.8515625" style="0" customWidth="1"/>
    <col min="10" max="10" width="12.140625" style="0" customWidth="1"/>
    <col min="11" max="11" width="78.57421875" style="0" bestFit="1" customWidth="1"/>
    <col min="12" max="12" width="20.28125" style="0" customWidth="1"/>
    <col min="14" max="24" width="15.7109375" style="0" customWidth="1"/>
  </cols>
  <sheetData>
    <row r="1" spans="1:2" ht="15.75" thickBot="1">
      <c r="A1" s="6" t="s">
        <v>19</v>
      </c>
      <c r="B1" s="10"/>
    </row>
    <row r="2" spans="1:24" ht="75">
      <c r="A2" s="7" t="s">
        <v>6</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119</v>
      </c>
      <c r="N3" s="140" t="s">
        <v>168</v>
      </c>
      <c r="O3" s="107">
        <f aca="true" t="shared" si="0" ref="O3:O9">P3/Q3</f>
        <v>5</v>
      </c>
      <c r="P3" s="98">
        <f>B9</f>
        <v>5</v>
      </c>
      <c r="Q3" s="98">
        <f>B7</f>
        <v>1</v>
      </c>
      <c r="R3" s="98">
        <f>B18</f>
        <v>1</v>
      </c>
      <c r="S3" s="98">
        <f>C18</f>
        <v>22</v>
      </c>
      <c r="T3" s="98">
        <v>0</v>
      </c>
      <c r="U3" s="99">
        <f>P3-T3</f>
        <v>5</v>
      </c>
      <c r="V3" s="100">
        <f>R3*S3</f>
        <v>22</v>
      </c>
      <c r="W3" s="134">
        <f>V3/P3</f>
        <v>4.4</v>
      </c>
      <c r="X3" s="135">
        <f>V3/U3</f>
        <v>4.4</v>
      </c>
    </row>
    <row r="4" spans="14:24" ht="15">
      <c r="N4" s="141"/>
      <c r="O4" s="108">
        <f t="shared" si="0"/>
        <v>7</v>
      </c>
      <c r="P4" s="94">
        <f>B25</f>
        <v>7</v>
      </c>
      <c r="Q4" s="94">
        <f>B23</f>
        <v>1</v>
      </c>
      <c r="R4" s="94">
        <f>B34</f>
        <v>1</v>
      </c>
      <c r="S4" s="94">
        <f>C34</f>
        <v>34</v>
      </c>
      <c r="T4" s="94">
        <v>0</v>
      </c>
      <c r="U4" s="95">
        <f aca="true" t="shared" si="1" ref="U4:U9">P4-T4</f>
        <v>7</v>
      </c>
      <c r="V4" s="96">
        <f aca="true" t="shared" si="2" ref="V4:V9">R4*S4</f>
        <v>34</v>
      </c>
      <c r="W4" s="136">
        <f aca="true" t="shared" si="3" ref="W4:W9">V4/P4</f>
        <v>4.857142857142857</v>
      </c>
      <c r="X4" s="137">
        <f aca="true" t="shared" si="4" ref="X4:X9">V4/U4</f>
        <v>4.857142857142857</v>
      </c>
    </row>
    <row r="5" spans="11:24" ht="15">
      <c r="K5" s="20" t="str">
        <f>'Summary Sheet'!C6</f>
        <v>General Communal Area</v>
      </c>
      <c r="L5" s="182">
        <f>B3</f>
        <v>119</v>
      </c>
      <c r="N5" s="141"/>
      <c r="O5" s="108">
        <f t="shared" si="0"/>
        <v>5</v>
      </c>
      <c r="P5" s="94">
        <f>B41</f>
        <v>5</v>
      </c>
      <c r="Q5" s="94">
        <f>B39</f>
        <v>1</v>
      </c>
      <c r="R5" s="94">
        <f>B49</f>
        <v>1</v>
      </c>
      <c r="S5" s="94">
        <f>C49</f>
        <v>25</v>
      </c>
      <c r="T5" s="94">
        <v>0</v>
      </c>
      <c r="U5" s="95">
        <f t="shared" si="1"/>
        <v>5</v>
      </c>
      <c r="V5" s="96">
        <f t="shared" si="2"/>
        <v>25</v>
      </c>
      <c r="W5" s="136">
        <f t="shared" si="3"/>
        <v>5</v>
      </c>
      <c r="X5" s="137">
        <f t="shared" si="4"/>
        <v>5</v>
      </c>
    </row>
    <row r="6" spans="1:24" ht="15">
      <c r="A6" s="28" t="s">
        <v>7</v>
      </c>
      <c r="B6" s="6" t="s">
        <v>17</v>
      </c>
      <c r="C6" s="10"/>
      <c r="D6" s="10"/>
      <c r="E6" s="10"/>
      <c r="G6" s="6" t="s">
        <v>21</v>
      </c>
      <c r="H6" s="6" t="s">
        <v>17</v>
      </c>
      <c r="I6" s="6" t="s">
        <v>18</v>
      </c>
      <c r="K6" s="20" t="str">
        <f>'Summary Sheet'!C7</f>
        <v>Kitchen / Dining / Living Area (Shared Internal Area)</v>
      </c>
      <c r="L6" s="182">
        <f>(B18*C18)+(B34*C34)+(B49*C49)+(B64*C64)+(B79*C79)+(B94*C94)+(B109*C109)</f>
        <v>790</v>
      </c>
      <c r="N6" s="141"/>
      <c r="O6" s="108">
        <f t="shared" si="0"/>
        <v>5</v>
      </c>
      <c r="P6" s="94">
        <f>B56</f>
        <v>5</v>
      </c>
      <c r="Q6" s="94">
        <f>B54</f>
        <v>1</v>
      </c>
      <c r="R6" s="94">
        <f>B64</f>
        <v>1</v>
      </c>
      <c r="S6" s="94">
        <f>C64</f>
        <v>24</v>
      </c>
      <c r="T6" s="94">
        <v>0</v>
      </c>
      <c r="U6" s="95">
        <f t="shared" si="1"/>
        <v>5</v>
      </c>
      <c r="V6" s="96">
        <f t="shared" si="2"/>
        <v>24</v>
      </c>
      <c r="W6" s="136">
        <f t="shared" si="3"/>
        <v>4.8</v>
      </c>
      <c r="X6" s="137">
        <f t="shared" si="4"/>
        <v>4.8</v>
      </c>
    </row>
    <row r="7" spans="1:24" ht="15">
      <c r="A7" s="8" t="s">
        <v>98</v>
      </c>
      <c r="B7" s="9">
        <v>1</v>
      </c>
      <c r="C7" s="10"/>
      <c r="D7" s="10"/>
      <c r="E7" s="10"/>
      <c r="G7" s="6" t="s">
        <v>22</v>
      </c>
      <c r="H7" s="11">
        <v>1</v>
      </c>
      <c r="I7" s="11">
        <v>38</v>
      </c>
      <c r="K7" s="20" t="str">
        <f>'Summary Sheet'!C8</f>
        <v>Total Communal Area</v>
      </c>
      <c r="L7" s="185">
        <f>SUM(L5:L6)</f>
        <v>909</v>
      </c>
      <c r="N7" s="141"/>
      <c r="O7" s="108">
        <f t="shared" si="0"/>
        <v>4</v>
      </c>
      <c r="P7" s="94">
        <f>B71</f>
        <v>4</v>
      </c>
      <c r="Q7" s="94">
        <f>B69</f>
        <v>1</v>
      </c>
      <c r="R7" s="94">
        <f>B79</f>
        <v>1</v>
      </c>
      <c r="S7" s="94">
        <f>C79</f>
        <v>24</v>
      </c>
      <c r="T7" s="94">
        <v>0</v>
      </c>
      <c r="U7" s="95">
        <f t="shared" si="1"/>
        <v>4</v>
      </c>
      <c r="V7" s="96">
        <f t="shared" si="2"/>
        <v>24</v>
      </c>
      <c r="W7" s="136">
        <f t="shared" si="3"/>
        <v>6</v>
      </c>
      <c r="X7" s="137">
        <f t="shared" si="4"/>
        <v>6</v>
      </c>
    </row>
    <row r="8" spans="1:24" ht="15">
      <c r="A8" s="10"/>
      <c r="B8" s="6" t="s">
        <v>17</v>
      </c>
      <c r="C8" s="6" t="s">
        <v>190</v>
      </c>
      <c r="D8" s="6" t="s">
        <v>191</v>
      </c>
      <c r="E8" s="6" t="s">
        <v>34</v>
      </c>
      <c r="G8" s="6" t="s">
        <v>23</v>
      </c>
      <c r="H8" s="11">
        <v>12</v>
      </c>
      <c r="I8" s="11">
        <v>29</v>
      </c>
      <c r="K8" s="20"/>
      <c r="L8" s="182"/>
      <c r="N8" s="141"/>
      <c r="O8" s="108">
        <f t="shared" si="0"/>
        <v>5.045454545454546</v>
      </c>
      <c r="P8" s="94">
        <f>B86</f>
        <v>111</v>
      </c>
      <c r="Q8" s="94">
        <f>B84</f>
        <v>22</v>
      </c>
      <c r="R8" s="94">
        <f>B94</f>
        <v>22</v>
      </c>
      <c r="S8" s="94">
        <f>C94</f>
        <v>24</v>
      </c>
      <c r="T8" s="94">
        <f>B88</f>
        <v>17</v>
      </c>
      <c r="U8" s="95">
        <f t="shared" si="1"/>
        <v>94</v>
      </c>
      <c r="V8" s="96">
        <f t="shared" si="2"/>
        <v>528</v>
      </c>
      <c r="W8" s="136">
        <f t="shared" si="3"/>
        <v>4.756756756756757</v>
      </c>
      <c r="X8" s="137">
        <f t="shared" si="4"/>
        <v>5.617021276595745</v>
      </c>
    </row>
    <row r="9" spans="1:24" ht="15">
      <c r="A9" s="6" t="s">
        <v>8</v>
      </c>
      <c r="B9" s="9">
        <v>5</v>
      </c>
      <c r="C9" s="9"/>
      <c r="D9" s="9"/>
      <c r="E9" s="9"/>
      <c r="G9" s="6" t="s">
        <v>24</v>
      </c>
      <c r="H9" s="11">
        <v>1</v>
      </c>
      <c r="I9" s="11">
        <v>34</v>
      </c>
      <c r="K9" s="20"/>
      <c r="L9" s="182"/>
      <c r="N9" s="141"/>
      <c r="O9" s="108">
        <f t="shared" si="0"/>
        <v>4</v>
      </c>
      <c r="P9" s="94">
        <f>B101</f>
        <v>28</v>
      </c>
      <c r="Q9" s="94">
        <f>B99</f>
        <v>7</v>
      </c>
      <c r="R9" s="94">
        <f>B109</f>
        <v>7</v>
      </c>
      <c r="S9" s="94">
        <f>C109</f>
        <v>19</v>
      </c>
      <c r="T9" s="94">
        <v>0</v>
      </c>
      <c r="U9" s="95">
        <f t="shared" si="1"/>
        <v>28</v>
      </c>
      <c r="V9" s="96">
        <f t="shared" si="2"/>
        <v>133</v>
      </c>
      <c r="W9" s="136">
        <f t="shared" si="3"/>
        <v>4.75</v>
      </c>
      <c r="X9" s="137">
        <f t="shared" si="4"/>
        <v>4.75</v>
      </c>
    </row>
    <row r="10" spans="1:24" ht="15">
      <c r="A10" s="6" t="s">
        <v>9</v>
      </c>
      <c r="B10" s="9">
        <v>5</v>
      </c>
      <c r="C10" s="9">
        <v>13</v>
      </c>
      <c r="D10" s="9"/>
      <c r="E10" s="9"/>
      <c r="G10" s="6" t="s">
        <v>25</v>
      </c>
      <c r="H10" s="11"/>
      <c r="I10" s="11"/>
      <c r="K10" s="20" t="str">
        <f>'Summary Sheet'!C10</f>
        <v>Number of Bedrooms (cluster &amp; studio) (non Accessible)</v>
      </c>
      <c r="L10" s="6">
        <f>B10+B26+B42+B57+B72+B87+B102+H7+H8+H9</f>
        <v>162</v>
      </c>
      <c r="N10" s="141"/>
      <c r="O10" s="108"/>
      <c r="P10" s="94"/>
      <c r="Q10" s="94"/>
      <c r="R10" s="94"/>
      <c r="S10" s="94"/>
      <c r="T10" s="94"/>
      <c r="U10" s="95"/>
      <c r="V10" s="96"/>
      <c r="W10" s="136"/>
      <c r="X10" s="137"/>
    </row>
    <row r="11" spans="1:24" ht="15">
      <c r="A11" s="6" t="s">
        <v>10</v>
      </c>
      <c r="B11" s="9"/>
      <c r="C11" s="9"/>
      <c r="D11" s="9"/>
      <c r="E11" s="9"/>
      <c r="G11" s="6" t="s">
        <v>26</v>
      </c>
      <c r="H11" s="11"/>
      <c r="I11" s="11"/>
      <c r="K11" s="20" t="str">
        <f>'Summary Sheet'!C11</f>
        <v>Total Area of Bedrooms (cluster &amp; studio) (non Accessible)</v>
      </c>
      <c r="L11" s="182">
        <f>(B10*C10)+(B26*C26)+(B42*C42)+(B57*C57)+(B72*C72)+(B87*C87)+(B102*C102)+(H7*I7)+(H8*I8)+(H9*I9)</f>
        <v>2344</v>
      </c>
      <c r="N11" s="141"/>
      <c r="O11" s="108"/>
      <c r="P11" s="94"/>
      <c r="Q11" s="94"/>
      <c r="R11" s="94"/>
      <c r="S11" s="94"/>
      <c r="T11" s="94"/>
      <c r="U11" s="96"/>
      <c r="V11" s="96"/>
      <c r="W11" s="136"/>
      <c r="X11" s="137"/>
    </row>
    <row r="12" spans="1:24" ht="15">
      <c r="A12" s="6" t="s">
        <v>11</v>
      </c>
      <c r="B12" s="9"/>
      <c r="C12" s="9"/>
      <c r="D12" s="9"/>
      <c r="E12" s="9"/>
      <c r="G12" s="6" t="s">
        <v>27</v>
      </c>
      <c r="H12" s="11"/>
      <c r="I12" s="11"/>
      <c r="K12" s="20" t="str">
        <f>'Summary Sheet'!C12</f>
        <v>Average size of Bedroom (cluster &amp; studio) (non Accessible)</v>
      </c>
      <c r="L12" s="185">
        <f>L11/L10</f>
        <v>14.469135802469136</v>
      </c>
      <c r="N12" s="141"/>
      <c r="O12" s="108"/>
      <c r="P12" s="94"/>
      <c r="Q12" s="94"/>
      <c r="R12" s="94"/>
      <c r="S12" s="94"/>
      <c r="T12" s="94"/>
      <c r="U12" s="95"/>
      <c r="V12" s="96"/>
      <c r="W12" s="136"/>
      <c r="X12" s="137"/>
    </row>
    <row r="13" spans="1:24" ht="15">
      <c r="A13" s="6" t="s">
        <v>12</v>
      </c>
      <c r="B13" s="9"/>
      <c r="C13" s="9"/>
      <c r="D13" s="9"/>
      <c r="E13" s="9"/>
      <c r="G13" s="6" t="s">
        <v>28</v>
      </c>
      <c r="H13" s="11"/>
      <c r="I13" s="11"/>
      <c r="K13" s="20"/>
      <c r="L13" s="185"/>
      <c r="N13" s="141"/>
      <c r="O13" s="108"/>
      <c r="P13" s="94"/>
      <c r="Q13" s="94"/>
      <c r="R13" s="94"/>
      <c r="S13" s="94"/>
      <c r="T13" s="94"/>
      <c r="U13" s="95"/>
      <c r="V13" s="96"/>
      <c r="W13" s="136"/>
      <c r="X13" s="137"/>
    </row>
    <row r="14" spans="1:24" ht="15">
      <c r="A14" s="6" t="s">
        <v>13</v>
      </c>
      <c r="B14" s="9"/>
      <c r="C14" s="9"/>
      <c r="D14" s="9"/>
      <c r="E14" s="9"/>
      <c r="G14" s="6" t="s">
        <v>29</v>
      </c>
      <c r="H14" s="11"/>
      <c r="I14" s="11"/>
      <c r="K14" s="20" t="str">
        <f>'Summary Sheet'!C14</f>
        <v>Number of Cluster Bedrooms (non Accessible)</v>
      </c>
      <c r="L14" s="186">
        <f>B10+B26+B42+B57+B72+B87+B102</f>
        <v>148</v>
      </c>
      <c r="N14" s="141"/>
      <c r="O14" s="108"/>
      <c r="P14" s="94"/>
      <c r="Q14" s="94"/>
      <c r="R14" s="94"/>
      <c r="S14" s="94"/>
      <c r="T14" s="94"/>
      <c r="U14" s="95"/>
      <c r="V14" s="96"/>
      <c r="W14" s="136"/>
      <c r="X14" s="137"/>
    </row>
    <row r="15" spans="1:24" ht="15">
      <c r="A15" s="6" t="s">
        <v>14</v>
      </c>
      <c r="B15" s="9"/>
      <c r="C15" s="9"/>
      <c r="D15" s="9"/>
      <c r="E15" s="9"/>
      <c r="G15" s="6" t="s">
        <v>30</v>
      </c>
      <c r="H15" s="11"/>
      <c r="I15" s="11"/>
      <c r="K15" s="20" t="str">
        <f>'Summary Sheet'!C15</f>
        <v>Total Area of Cluster Bedrooms (non Accessible)</v>
      </c>
      <c r="L15" s="6">
        <f>(B10*C10)+(B26*C26)+(B42*C42)+(B57*C57)+(B72*C72)+(B87*C87)+(B102*C102)</f>
        <v>1924</v>
      </c>
      <c r="N15" s="141"/>
      <c r="O15" s="108"/>
      <c r="P15" s="94"/>
      <c r="Q15" s="94"/>
      <c r="R15" s="94"/>
      <c r="S15" s="94"/>
      <c r="T15" s="94"/>
      <c r="U15" s="95"/>
      <c r="V15" s="96"/>
      <c r="W15" s="136"/>
      <c r="X15" s="137"/>
    </row>
    <row r="16" spans="1:24" ht="15">
      <c r="A16" s="6" t="s">
        <v>97</v>
      </c>
      <c r="B16" s="9"/>
      <c r="C16" s="9"/>
      <c r="D16" s="9"/>
      <c r="E16" s="9"/>
      <c r="G16" s="6" t="s">
        <v>31</v>
      </c>
      <c r="H16" s="11"/>
      <c r="I16" s="11"/>
      <c r="K16" s="20" t="str">
        <f>'Summary Sheet'!C16</f>
        <v>Average Size of Cluster Bedroom (non Accessible)</v>
      </c>
      <c r="L16" s="187">
        <f>L15/L14</f>
        <v>13</v>
      </c>
      <c r="N16" s="141"/>
      <c r="O16" s="108"/>
      <c r="P16" s="94"/>
      <c r="Q16" s="94"/>
      <c r="R16" s="94"/>
      <c r="S16" s="94"/>
      <c r="T16" s="94"/>
      <c r="U16" s="95"/>
      <c r="V16" s="96"/>
      <c r="W16" s="136"/>
      <c r="X16" s="137"/>
    </row>
    <row r="17" spans="1:24" ht="15">
      <c r="A17" s="10"/>
      <c r="B17" s="6" t="s">
        <v>17</v>
      </c>
      <c r="C17" s="6" t="s">
        <v>18</v>
      </c>
      <c r="D17" s="10"/>
      <c r="E17" s="10"/>
      <c r="G17" s="6" t="s">
        <v>32</v>
      </c>
      <c r="H17" s="11"/>
      <c r="I17" s="11"/>
      <c r="K17" s="20"/>
      <c r="L17" s="188"/>
      <c r="N17" s="141"/>
      <c r="O17" s="108"/>
      <c r="P17" s="94"/>
      <c r="Q17" s="94"/>
      <c r="R17" s="94"/>
      <c r="S17" s="94"/>
      <c r="T17" s="94"/>
      <c r="U17" s="95"/>
      <c r="V17" s="96"/>
      <c r="W17" s="136"/>
      <c r="X17" s="137"/>
    </row>
    <row r="18" spans="1:24" ht="15">
      <c r="A18" s="6" t="s">
        <v>16</v>
      </c>
      <c r="B18" s="9">
        <v>1</v>
      </c>
      <c r="C18" s="9">
        <v>22</v>
      </c>
      <c r="D18" s="10"/>
      <c r="E18" s="10"/>
      <c r="G18" s="6" t="s">
        <v>33</v>
      </c>
      <c r="H18" s="11"/>
      <c r="I18" s="11"/>
      <c r="K18" s="20" t="str">
        <f>'Summary Sheet'!C18</f>
        <v>Number of Studio Bedspaces (non Accessible)</v>
      </c>
      <c r="L18" s="186">
        <f>H7+H8+H9</f>
        <v>14</v>
      </c>
      <c r="N18" s="141"/>
      <c r="O18" s="108"/>
      <c r="P18" s="94"/>
      <c r="Q18" s="94"/>
      <c r="R18" s="94"/>
      <c r="S18" s="94"/>
      <c r="T18" s="94"/>
      <c r="U18" s="95"/>
      <c r="V18" s="96"/>
      <c r="W18" s="136"/>
      <c r="X18" s="137"/>
    </row>
    <row r="19" spans="1:24" ht="15">
      <c r="A19" s="6" t="s">
        <v>15</v>
      </c>
      <c r="B19" s="9"/>
      <c r="C19" s="9"/>
      <c r="D19" s="10"/>
      <c r="E19" s="10"/>
      <c r="K19" s="20" t="str">
        <f>'Summary Sheet'!C19</f>
        <v>Total Area of Studio Bedspace (non Accessible)</v>
      </c>
      <c r="L19" s="186">
        <f>(H7*I7)+(H8*I8)+(H9*I9)</f>
        <v>420</v>
      </c>
      <c r="N19" s="141"/>
      <c r="O19" s="108"/>
      <c r="P19" s="94"/>
      <c r="Q19" s="94"/>
      <c r="R19" s="94"/>
      <c r="S19" s="94"/>
      <c r="T19" s="94"/>
      <c r="U19" s="95"/>
      <c r="V19" s="96"/>
      <c r="W19" s="136"/>
      <c r="X19" s="137"/>
    </row>
    <row r="20" spans="11:24" ht="15">
      <c r="K20" s="20" t="str">
        <f>'Summary Sheet'!C20</f>
        <v>Average Size of Studio Bedspaces (non Accessible)</v>
      </c>
      <c r="L20" s="189">
        <f>L19/L18</f>
        <v>30</v>
      </c>
      <c r="N20" s="141"/>
      <c r="O20" s="108"/>
      <c r="P20" s="94"/>
      <c r="Q20" s="94"/>
      <c r="R20" s="94"/>
      <c r="S20" s="94"/>
      <c r="T20" s="94"/>
      <c r="U20" s="95"/>
      <c r="V20" s="96"/>
      <c r="W20" s="136"/>
      <c r="X20" s="137"/>
    </row>
    <row r="21" spans="11:24" ht="15">
      <c r="K21" s="20"/>
      <c r="L21" s="182"/>
      <c r="N21" s="141"/>
      <c r="O21" s="108"/>
      <c r="P21" s="94"/>
      <c r="Q21" s="94"/>
      <c r="R21" s="94"/>
      <c r="S21" s="94"/>
      <c r="T21" s="94"/>
      <c r="U21" s="95"/>
      <c r="V21" s="96"/>
      <c r="W21" s="136"/>
      <c r="X21" s="137"/>
    </row>
    <row r="22" spans="1:24" ht="15">
      <c r="A22" s="28" t="s">
        <v>7</v>
      </c>
      <c r="B22" s="6" t="s">
        <v>17</v>
      </c>
      <c r="C22" s="10"/>
      <c r="D22" s="10"/>
      <c r="E22" s="10"/>
      <c r="K22" s="6" t="str">
        <f>'Summary Sheet'!C24</f>
        <v>Total Number of Bedrooms Inc Accessible</v>
      </c>
      <c r="L22" s="6">
        <f>L10+B88</f>
        <v>179</v>
      </c>
      <c r="N22" s="141"/>
      <c r="O22" s="108"/>
      <c r="P22" s="94"/>
      <c r="Q22" s="94"/>
      <c r="R22" s="94"/>
      <c r="S22" s="94"/>
      <c r="T22" s="94"/>
      <c r="U22" s="95"/>
      <c r="V22" s="96"/>
      <c r="W22" s="136"/>
      <c r="X22" s="137"/>
    </row>
    <row r="23" spans="1:24" ht="15">
      <c r="A23" s="8" t="s">
        <v>99</v>
      </c>
      <c r="B23" s="9">
        <v>1</v>
      </c>
      <c r="C23" s="10"/>
      <c r="D23" s="10"/>
      <c r="E23" s="10"/>
      <c r="K23" s="6" t="str">
        <f>'Summary Sheet'!C26</f>
        <v>Number of Accessible Bedrooms</v>
      </c>
      <c r="L23" s="6">
        <f>L22-L10</f>
        <v>17</v>
      </c>
      <c r="N23" s="141"/>
      <c r="O23" s="108"/>
      <c r="P23" s="94"/>
      <c r="Q23" s="94"/>
      <c r="R23" s="94"/>
      <c r="S23" s="94"/>
      <c r="T23" s="94"/>
      <c r="U23" s="95"/>
      <c r="V23" s="96"/>
      <c r="W23" s="136"/>
      <c r="X23" s="137"/>
    </row>
    <row r="24" spans="1:24" ht="15">
      <c r="A24" s="10"/>
      <c r="B24" s="6">
        <v>1</v>
      </c>
      <c r="C24" s="6" t="s">
        <v>190</v>
      </c>
      <c r="D24" s="6" t="s">
        <v>191</v>
      </c>
      <c r="E24" s="6" t="s">
        <v>34</v>
      </c>
      <c r="K24" s="198" t="str">
        <f>'Summary Sheet'!C27</f>
        <v>Average Size of Accessible Bedroom</v>
      </c>
      <c r="L24" s="199">
        <f>(B88*C88)/L23</f>
        <v>19</v>
      </c>
      <c r="N24" s="141"/>
      <c r="O24" s="108"/>
      <c r="P24" s="94"/>
      <c r="Q24" s="94"/>
      <c r="R24" s="94"/>
      <c r="S24" s="94"/>
      <c r="T24" s="94"/>
      <c r="U24" s="95"/>
      <c r="V24" s="96"/>
      <c r="W24" s="136"/>
      <c r="X24" s="137"/>
    </row>
    <row r="25" spans="1:24" ht="15">
      <c r="A25" s="6" t="s">
        <v>8</v>
      </c>
      <c r="B25" s="9">
        <v>7</v>
      </c>
      <c r="C25" s="9"/>
      <c r="D25" s="9"/>
      <c r="E25" s="9"/>
      <c r="K25" s="203"/>
      <c r="L25" s="202"/>
      <c r="N25" s="141"/>
      <c r="O25" s="108"/>
      <c r="P25" s="94"/>
      <c r="Q25" s="94"/>
      <c r="R25" s="94"/>
      <c r="S25" s="94"/>
      <c r="T25" s="94"/>
      <c r="U25" s="95"/>
      <c r="V25" s="96"/>
      <c r="W25" s="136"/>
      <c r="X25" s="137"/>
    </row>
    <row r="26" spans="1:24" ht="15">
      <c r="A26" s="6" t="s">
        <v>9</v>
      </c>
      <c r="B26" s="9">
        <v>7</v>
      </c>
      <c r="C26" s="9">
        <v>13</v>
      </c>
      <c r="D26" s="9"/>
      <c r="E26" s="9"/>
      <c r="K26" s="12"/>
      <c r="L26" s="12"/>
      <c r="N26" s="141"/>
      <c r="O26" s="108"/>
      <c r="P26" s="94"/>
      <c r="Q26" s="94"/>
      <c r="R26" s="94"/>
      <c r="S26" s="94"/>
      <c r="T26" s="94"/>
      <c r="U26" s="95"/>
      <c r="V26" s="96"/>
      <c r="W26" s="136"/>
      <c r="X26" s="137"/>
    </row>
    <row r="27" spans="1:24" ht="15">
      <c r="A27" s="6" t="s">
        <v>10</v>
      </c>
      <c r="B27" s="9"/>
      <c r="C27" s="9"/>
      <c r="D27" s="9"/>
      <c r="E27" s="9"/>
      <c r="N27" s="141"/>
      <c r="O27" s="108"/>
      <c r="P27" s="94"/>
      <c r="Q27" s="94"/>
      <c r="R27" s="94"/>
      <c r="S27" s="94"/>
      <c r="T27" s="94"/>
      <c r="U27" s="95"/>
      <c r="V27" s="96"/>
      <c r="W27" s="136"/>
      <c r="X27" s="137"/>
    </row>
    <row r="28" spans="1:24" ht="15">
      <c r="A28" s="6" t="s">
        <v>11</v>
      </c>
      <c r="B28" s="9"/>
      <c r="C28" s="9"/>
      <c r="D28" s="9"/>
      <c r="E28" s="9"/>
      <c r="N28" s="141"/>
      <c r="O28" s="108"/>
      <c r="P28" s="94"/>
      <c r="Q28" s="94"/>
      <c r="R28" s="94"/>
      <c r="S28" s="94"/>
      <c r="T28" s="94"/>
      <c r="U28" s="95"/>
      <c r="V28" s="96"/>
      <c r="W28" s="136"/>
      <c r="X28" s="137"/>
    </row>
    <row r="29" spans="1:24" ht="15">
      <c r="A29" s="6" t="s">
        <v>12</v>
      </c>
      <c r="B29" s="9"/>
      <c r="C29" s="9"/>
      <c r="D29" s="9"/>
      <c r="E29" s="9"/>
      <c r="N29" s="141"/>
      <c r="O29" s="108"/>
      <c r="P29" s="94"/>
      <c r="Q29" s="94"/>
      <c r="R29" s="94"/>
      <c r="S29" s="94"/>
      <c r="T29" s="94"/>
      <c r="U29" s="95"/>
      <c r="V29" s="96"/>
      <c r="W29" s="136"/>
      <c r="X29" s="137"/>
    </row>
    <row r="30" spans="1:24" ht="15">
      <c r="A30" s="6" t="s">
        <v>13</v>
      </c>
      <c r="B30" s="9"/>
      <c r="C30" s="9"/>
      <c r="D30" s="9"/>
      <c r="E30" s="9"/>
      <c r="N30" s="141"/>
      <c r="O30" s="108"/>
      <c r="P30" s="94"/>
      <c r="Q30" s="94"/>
      <c r="R30" s="94"/>
      <c r="S30" s="94"/>
      <c r="T30" s="94"/>
      <c r="U30" s="95"/>
      <c r="V30" s="96"/>
      <c r="W30" s="136"/>
      <c r="X30" s="137"/>
    </row>
    <row r="31" spans="1:24" ht="15">
      <c r="A31" s="6" t="s">
        <v>14</v>
      </c>
      <c r="B31" s="9"/>
      <c r="C31" s="9"/>
      <c r="D31" s="9"/>
      <c r="E31" s="9"/>
      <c r="N31" s="141"/>
      <c r="O31" s="108"/>
      <c r="P31" s="94"/>
      <c r="Q31" s="94"/>
      <c r="R31" s="94"/>
      <c r="S31" s="94"/>
      <c r="T31" s="94"/>
      <c r="U31" s="95"/>
      <c r="V31" s="96"/>
      <c r="W31" s="136"/>
      <c r="X31" s="137"/>
    </row>
    <row r="32" spans="1:24" ht="15">
      <c r="A32" s="6" t="s">
        <v>97</v>
      </c>
      <c r="B32" s="9"/>
      <c r="C32" s="9"/>
      <c r="D32" s="9"/>
      <c r="E32" s="9"/>
      <c r="N32" s="141"/>
      <c r="O32" s="108"/>
      <c r="P32" s="94"/>
      <c r="Q32" s="94"/>
      <c r="R32" s="94"/>
      <c r="S32" s="94"/>
      <c r="T32" s="94"/>
      <c r="U32" s="95"/>
      <c r="V32" s="96"/>
      <c r="W32" s="136"/>
      <c r="X32" s="137"/>
    </row>
    <row r="33" spans="1:24" ht="15">
      <c r="A33" s="10"/>
      <c r="B33" s="6" t="s">
        <v>17</v>
      </c>
      <c r="C33" s="6" t="s">
        <v>18</v>
      </c>
      <c r="D33" s="10"/>
      <c r="E33" s="10"/>
      <c r="N33" s="141"/>
      <c r="O33" s="108"/>
      <c r="P33" s="94"/>
      <c r="Q33" s="94"/>
      <c r="R33" s="94"/>
      <c r="S33" s="94"/>
      <c r="T33" s="94"/>
      <c r="U33" s="95"/>
      <c r="V33" s="96"/>
      <c r="W33" s="136"/>
      <c r="X33" s="137"/>
    </row>
    <row r="34" spans="1:24" ht="15">
      <c r="A34" s="6" t="s">
        <v>16</v>
      </c>
      <c r="B34" s="9">
        <v>1</v>
      </c>
      <c r="C34" s="9">
        <v>34</v>
      </c>
      <c r="D34" s="10"/>
      <c r="E34" s="10"/>
      <c r="N34" s="141"/>
      <c r="O34" s="108"/>
      <c r="P34" s="94"/>
      <c r="Q34" s="94"/>
      <c r="R34" s="94"/>
      <c r="S34" s="94"/>
      <c r="T34" s="94"/>
      <c r="U34" s="95"/>
      <c r="V34" s="96"/>
      <c r="W34" s="136"/>
      <c r="X34" s="137"/>
    </row>
    <row r="35" spans="1:24" ht="15.75" thickBot="1">
      <c r="A35" s="6" t="s">
        <v>15</v>
      </c>
      <c r="B35" s="9"/>
      <c r="C35" s="9"/>
      <c r="D35" s="10"/>
      <c r="E35" s="10"/>
      <c r="N35" s="144"/>
      <c r="O35" s="125"/>
      <c r="P35" s="97"/>
      <c r="Q35" s="97"/>
      <c r="R35" s="97"/>
      <c r="S35" s="97"/>
      <c r="T35" s="97"/>
      <c r="U35" s="116"/>
      <c r="V35" s="117"/>
      <c r="W35" s="138"/>
      <c r="X35" s="139"/>
    </row>
    <row r="36" ht="15.75" thickBot="1"/>
    <row r="37" spans="14:24" ht="15">
      <c r="N37" s="131">
        <f>'Summary Sheet'!D34</f>
        <v>3</v>
      </c>
      <c r="O37" s="128"/>
      <c r="P37" s="145">
        <f>SUMIF($O$3:$O$35,$N37,P$3:P$35)</f>
        <v>0</v>
      </c>
      <c r="Q37" s="145">
        <f>SUMIF($O$3:$O$35,$N37,Q$3:Q$35)</f>
        <v>0</v>
      </c>
      <c r="R37" s="145">
        <f aca="true" t="shared" si="5" ref="R37:V44">SUMIF($O$3:$O$35,$N37,R$3:R$35)</f>
        <v>0</v>
      </c>
      <c r="S37" s="145">
        <f t="shared" si="5"/>
        <v>0</v>
      </c>
      <c r="T37" s="145">
        <f t="shared" si="5"/>
        <v>0</v>
      </c>
      <c r="U37" s="145">
        <f t="shared" si="5"/>
        <v>0</v>
      </c>
      <c r="V37" s="146">
        <f t="shared" si="5"/>
        <v>0</v>
      </c>
      <c r="W37" s="147">
        <f>_xlfn.IFERROR(V37/P37,"")</f>
      </c>
      <c r="X37" s="148">
        <f>_xlfn.IFERROR(V37/U37,"")</f>
      </c>
    </row>
    <row r="38" spans="1:24" ht="15">
      <c r="A38" s="28" t="s">
        <v>7</v>
      </c>
      <c r="B38" s="6" t="s">
        <v>17</v>
      </c>
      <c r="C38" s="10"/>
      <c r="D38" s="10"/>
      <c r="E38" s="10"/>
      <c r="N38" s="132">
        <f>'Summary Sheet'!D35</f>
        <v>4</v>
      </c>
      <c r="O38" s="129"/>
      <c r="P38" s="96">
        <f>SUMIF($O$3:O36,N38,$P$3:$P$35)</f>
        <v>32</v>
      </c>
      <c r="Q38" s="96">
        <f aca="true" t="shared" si="6" ref="Q38:Q44">SUMIF($O$3:$O$35,$N38,Q$3:Q$35)</f>
        <v>8</v>
      </c>
      <c r="R38" s="96">
        <f t="shared" si="5"/>
        <v>8</v>
      </c>
      <c r="S38" s="96">
        <f t="shared" si="5"/>
        <v>43</v>
      </c>
      <c r="T38" s="96">
        <f t="shared" si="5"/>
        <v>0</v>
      </c>
      <c r="U38" s="96">
        <f t="shared" si="5"/>
        <v>32</v>
      </c>
      <c r="V38" s="149">
        <f t="shared" si="5"/>
        <v>157</v>
      </c>
      <c r="W38" s="150">
        <f aca="true" t="shared" si="7" ref="W38:W44">_xlfn.IFERROR(V38/P38,"")</f>
        <v>4.90625</v>
      </c>
      <c r="X38" s="137">
        <f aca="true" t="shared" si="8" ref="X38:X44">_xlfn.IFERROR(V38/U38,"")</f>
        <v>4.90625</v>
      </c>
    </row>
    <row r="39" spans="1:24" ht="15">
      <c r="A39" s="8" t="s">
        <v>100</v>
      </c>
      <c r="B39" s="9">
        <v>1</v>
      </c>
      <c r="C39" s="10"/>
      <c r="D39" s="10"/>
      <c r="E39" s="10"/>
      <c r="N39" s="132">
        <f>'Summary Sheet'!D36</f>
        <v>5</v>
      </c>
      <c r="O39" s="129"/>
      <c r="P39" s="96">
        <f>SUMIF($O$3:O37,N39,$P$3:$P$35)</f>
        <v>15</v>
      </c>
      <c r="Q39" s="96">
        <f t="shared" si="6"/>
        <v>3</v>
      </c>
      <c r="R39" s="96">
        <f t="shared" si="5"/>
        <v>3</v>
      </c>
      <c r="S39" s="96">
        <f t="shared" si="5"/>
        <v>71</v>
      </c>
      <c r="T39" s="96">
        <f t="shared" si="5"/>
        <v>0</v>
      </c>
      <c r="U39" s="96">
        <f t="shared" si="5"/>
        <v>15</v>
      </c>
      <c r="V39" s="149">
        <f t="shared" si="5"/>
        <v>71</v>
      </c>
      <c r="W39" s="150">
        <f t="shared" si="7"/>
        <v>4.733333333333333</v>
      </c>
      <c r="X39" s="137">
        <f t="shared" si="8"/>
        <v>4.733333333333333</v>
      </c>
    </row>
    <row r="40" spans="1:24" ht="15">
      <c r="A40" s="10"/>
      <c r="B40" s="6" t="s">
        <v>17</v>
      </c>
      <c r="C40" s="6" t="s">
        <v>190</v>
      </c>
      <c r="D40" s="6" t="s">
        <v>191</v>
      </c>
      <c r="E40" s="6" t="s">
        <v>34</v>
      </c>
      <c r="N40" s="132">
        <f>'Summary Sheet'!D37</f>
        <v>6</v>
      </c>
      <c r="O40" s="129"/>
      <c r="P40" s="96">
        <f>SUMIF($O$3:O38,N40,$P$3:$P$35)</f>
        <v>0</v>
      </c>
      <c r="Q40" s="96">
        <f t="shared" si="6"/>
        <v>0</v>
      </c>
      <c r="R40" s="96">
        <f t="shared" si="5"/>
        <v>0</v>
      </c>
      <c r="S40" s="96">
        <f t="shared" si="5"/>
        <v>0</v>
      </c>
      <c r="T40" s="96">
        <f t="shared" si="5"/>
        <v>0</v>
      </c>
      <c r="U40" s="96">
        <f t="shared" si="5"/>
        <v>0</v>
      </c>
      <c r="V40" s="149">
        <f t="shared" si="5"/>
        <v>0</v>
      </c>
      <c r="W40" s="150">
        <f t="shared" si="7"/>
      </c>
      <c r="X40" s="137">
        <f t="shared" si="8"/>
      </c>
    </row>
    <row r="41" spans="1:24" ht="15">
      <c r="A41" s="6" t="s">
        <v>8</v>
      </c>
      <c r="B41" s="9">
        <v>5</v>
      </c>
      <c r="C41" s="9"/>
      <c r="D41" s="9"/>
      <c r="E41" s="9"/>
      <c r="N41" s="132">
        <f>'Summary Sheet'!D38</f>
        <v>7</v>
      </c>
      <c r="O41" s="129"/>
      <c r="P41" s="96">
        <f>SUMIF($O$3:O39,N41,$P$3:$P$35)</f>
        <v>7</v>
      </c>
      <c r="Q41" s="96">
        <f t="shared" si="6"/>
        <v>1</v>
      </c>
      <c r="R41" s="96">
        <f t="shared" si="5"/>
        <v>1</v>
      </c>
      <c r="S41" s="96">
        <f t="shared" si="5"/>
        <v>34</v>
      </c>
      <c r="T41" s="96">
        <f t="shared" si="5"/>
        <v>0</v>
      </c>
      <c r="U41" s="96">
        <f t="shared" si="5"/>
        <v>7</v>
      </c>
      <c r="V41" s="149">
        <f t="shared" si="5"/>
        <v>34</v>
      </c>
      <c r="W41" s="150">
        <f t="shared" si="7"/>
        <v>4.857142857142857</v>
      </c>
      <c r="X41" s="137">
        <f t="shared" si="8"/>
        <v>4.857142857142857</v>
      </c>
    </row>
    <row r="42" spans="1:24" ht="15">
      <c r="A42" s="6" t="s">
        <v>9</v>
      </c>
      <c r="B42" s="9">
        <v>5</v>
      </c>
      <c r="C42" s="9">
        <v>13</v>
      </c>
      <c r="D42" s="9"/>
      <c r="E42" s="9"/>
      <c r="N42" s="132">
        <f>'Summary Sheet'!D39</f>
        <v>8</v>
      </c>
      <c r="O42" s="129"/>
      <c r="P42" s="96">
        <f>SUMIF($O$3:O40,N42,$P$3:$P$35)</f>
        <v>0</v>
      </c>
      <c r="Q42" s="96">
        <f t="shared" si="6"/>
        <v>0</v>
      </c>
      <c r="R42" s="96">
        <f t="shared" si="5"/>
        <v>0</v>
      </c>
      <c r="S42" s="96">
        <f t="shared" si="5"/>
        <v>0</v>
      </c>
      <c r="T42" s="96">
        <f t="shared" si="5"/>
        <v>0</v>
      </c>
      <c r="U42" s="96">
        <f t="shared" si="5"/>
        <v>0</v>
      </c>
      <c r="V42" s="149">
        <f t="shared" si="5"/>
        <v>0</v>
      </c>
      <c r="W42" s="150">
        <f t="shared" si="7"/>
      </c>
      <c r="X42" s="137">
        <f t="shared" si="8"/>
      </c>
    </row>
    <row r="43" spans="1:24" ht="15">
      <c r="A43" s="6" t="s">
        <v>10</v>
      </c>
      <c r="B43" s="9"/>
      <c r="C43" s="9"/>
      <c r="D43" s="9"/>
      <c r="E43" s="9"/>
      <c r="N43" s="132">
        <f>'Summary Sheet'!D40</f>
        <v>9</v>
      </c>
      <c r="O43" s="129"/>
      <c r="P43" s="96">
        <f>SUMIF($O$3:O41,N43,$P$3:$P$35)</f>
        <v>0</v>
      </c>
      <c r="Q43" s="96">
        <f t="shared" si="6"/>
        <v>0</v>
      </c>
      <c r="R43" s="96">
        <f t="shared" si="5"/>
        <v>0</v>
      </c>
      <c r="S43" s="96">
        <f t="shared" si="5"/>
        <v>0</v>
      </c>
      <c r="T43" s="96">
        <f t="shared" si="5"/>
        <v>0</v>
      </c>
      <c r="U43" s="96">
        <f t="shared" si="5"/>
        <v>0</v>
      </c>
      <c r="V43" s="149">
        <f t="shared" si="5"/>
        <v>0</v>
      </c>
      <c r="W43" s="150">
        <f t="shared" si="7"/>
      </c>
      <c r="X43" s="137">
        <f t="shared" si="8"/>
      </c>
    </row>
    <row r="44" spans="1:24" ht="15.75" thickBot="1">
      <c r="A44" s="6" t="s">
        <v>11</v>
      </c>
      <c r="B44" s="9"/>
      <c r="C44" s="9"/>
      <c r="D44" s="9"/>
      <c r="E44" s="9"/>
      <c r="N44" s="133">
        <f>'Summary Sheet'!D41</f>
        <v>10</v>
      </c>
      <c r="O44" s="130"/>
      <c r="P44" s="117">
        <f>SUMIF($O$3:O42,N44,$P$3:$P$35)</f>
        <v>0</v>
      </c>
      <c r="Q44" s="117">
        <f t="shared" si="6"/>
        <v>0</v>
      </c>
      <c r="R44" s="117">
        <f t="shared" si="5"/>
        <v>0</v>
      </c>
      <c r="S44" s="117">
        <f t="shared" si="5"/>
        <v>0</v>
      </c>
      <c r="T44" s="117">
        <f t="shared" si="5"/>
        <v>0</v>
      </c>
      <c r="U44" s="117">
        <f t="shared" si="5"/>
        <v>0</v>
      </c>
      <c r="V44" s="151">
        <f t="shared" si="5"/>
        <v>0</v>
      </c>
      <c r="W44" s="152">
        <f t="shared" si="7"/>
      </c>
      <c r="X44" s="139">
        <f t="shared" si="8"/>
      </c>
    </row>
    <row r="45" spans="1:5" ht="15">
      <c r="A45" s="6" t="s">
        <v>12</v>
      </c>
      <c r="B45" s="9"/>
      <c r="C45" s="9"/>
      <c r="D45" s="9"/>
      <c r="E45" s="9"/>
    </row>
    <row r="46" spans="1:5" ht="15">
      <c r="A46" s="6" t="s">
        <v>13</v>
      </c>
      <c r="B46" s="9"/>
      <c r="C46" s="9"/>
      <c r="D46" s="9"/>
      <c r="E46" s="9"/>
    </row>
    <row r="47" spans="1:5" ht="15">
      <c r="A47" s="6" t="s">
        <v>14</v>
      </c>
      <c r="B47" s="9"/>
      <c r="C47" s="9"/>
      <c r="D47" s="9"/>
      <c r="E47" s="9"/>
    </row>
    <row r="48" spans="1:5" ht="15">
      <c r="A48" s="10"/>
      <c r="B48" s="6" t="s">
        <v>17</v>
      </c>
      <c r="C48" s="6" t="s">
        <v>18</v>
      </c>
      <c r="D48" s="10"/>
      <c r="E48" s="10"/>
    </row>
    <row r="49" spans="1:5" ht="15">
      <c r="A49" s="6" t="s">
        <v>16</v>
      </c>
      <c r="B49" s="9">
        <v>1</v>
      </c>
      <c r="C49" s="9">
        <v>25</v>
      </c>
      <c r="D49" s="10"/>
      <c r="E49" s="10"/>
    </row>
    <row r="50" spans="1:5" ht="15">
      <c r="A50" s="6" t="s">
        <v>15</v>
      </c>
      <c r="B50" s="9"/>
      <c r="C50" s="9"/>
      <c r="D50" s="10"/>
      <c r="E50" s="10"/>
    </row>
    <row r="53" spans="1:5" ht="15">
      <c r="A53" s="28" t="s">
        <v>7</v>
      </c>
      <c r="B53" s="6" t="s">
        <v>17</v>
      </c>
      <c r="C53" s="10"/>
      <c r="D53" s="10"/>
      <c r="E53" s="10"/>
    </row>
    <row r="54" spans="1:5" ht="15">
      <c r="A54" s="8" t="s">
        <v>101</v>
      </c>
      <c r="B54" s="9">
        <v>1</v>
      </c>
      <c r="C54" s="10"/>
      <c r="D54" s="10"/>
      <c r="E54" s="10"/>
    </row>
    <row r="55" spans="1:5" ht="15">
      <c r="A55" s="10"/>
      <c r="B55" s="6" t="s">
        <v>17</v>
      </c>
      <c r="C55" s="6" t="s">
        <v>190</v>
      </c>
      <c r="D55" s="6" t="s">
        <v>191</v>
      </c>
      <c r="E55" s="6" t="s">
        <v>34</v>
      </c>
    </row>
    <row r="56" spans="1:5" ht="15">
      <c r="A56" s="6" t="s">
        <v>8</v>
      </c>
      <c r="B56" s="9">
        <v>5</v>
      </c>
      <c r="C56" s="9"/>
      <c r="D56" s="9"/>
      <c r="E56" s="9"/>
    </row>
    <row r="57" spans="1:5" ht="15">
      <c r="A57" s="6" t="s">
        <v>9</v>
      </c>
      <c r="B57" s="9">
        <v>5</v>
      </c>
      <c r="C57" s="9">
        <v>13</v>
      </c>
      <c r="D57" s="9"/>
      <c r="E57" s="9"/>
    </row>
    <row r="58" spans="1:5" ht="15">
      <c r="A58" s="6" t="s">
        <v>10</v>
      </c>
      <c r="B58" s="9"/>
      <c r="C58" s="9"/>
      <c r="D58" s="9"/>
      <c r="E58" s="9"/>
    </row>
    <row r="59" spans="1:5" ht="15">
      <c r="A59" s="6" t="s">
        <v>11</v>
      </c>
      <c r="B59" s="9"/>
      <c r="C59" s="9"/>
      <c r="D59" s="9"/>
      <c r="E59" s="9"/>
    </row>
    <row r="60" spans="1:5" ht="15">
      <c r="A60" s="6" t="s">
        <v>12</v>
      </c>
      <c r="B60" s="9"/>
      <c r="C60" s="9"/>
      <c r="D60" s="9"/>
      <c r="E60" s="9"/>
    </row>
    <row r="61" spans="1:5" ht="15">
      <c r="A61" s="6" t="s">
        <v>13</v>
      </c>
      <c r="B61" s="9"/>
      <c r="C61" s="9"/>
      <c r="D61" s="9"/>
      <c r="E61" s="9"/>
    </row>
    <row r="62" spans="1:5" ht="15">
      <c r="A62" s="6" t="s">
        <v>14</v>
      </c>
      <c r="B62" s="9"/>
      <c r="C62" s="9"/>
      <c r="D62" s="9"/>
      <c r="E62" s="9"/>
    </row>
    <row r="63" spans="1:5" ht="15">
      <c r="A63" s="10"/>
      <c r="B63" s="6" t="s">
        <v>17</v>
      </c>
      <c r="C63" s="6" t="s">
        <v>18</v>
      </c>
      <c r="D63" s="10"/>
      <c r="E63" s="10"/>
    </row>
    <row r="64" spans="1:5" ht="15">
      <c r="A64" s="6" t="s">
        <v>16</v>
      </c>
      <c r="B64" s="9">
        <v>1</v>
      </c>
      <c r="C64" s="9">
        <v>24</v>
      </c>
      <c r="D64" s="10"/>
      <c r="E64" s="10"/>
    </row>
    <row r="65" spans="1:5" ht="15">
      <c r="A65" s="6" t="s">
        <v>15</v>
      </c>
      <c r="B65" s="9"/>
      <c r="C65" s="9"/>
      <c r="D65" s="10"/>
      <c r="E65" s="10"/>
    </row>
    <row r="68" spans="1:5" ht="15">
      <c r="A68" s="28" t="s">
        <v>7</v>
      </c>
      <c r="B68" s="6" t="s">
        <v>17</v>
      </c>
      <c r="C68" s="10"/>
      <c r="D68" s="10"/>
      <c r="E68" s="10"/>
    </row>
    <row r="69" spans="1:5" ht="15">
      <c r="A69" s="8" t="s">
        <v>102</v>
      </c>
      <c r="B69" s="9">
        <v>1</v>
      </c>
      <c r="C69" s="10"/>
      <c r="D69" s="10"/>
      <c r="E69" s="10"/>
    </row>
    <row r="70" spans="1:5" ht="15">
      <c r="A70" s="10"/>
      <c r="B70" s="6" t="s">
        <v>17</v>
      </c>
      <c r="C70" s="6" t="s">
        <v>190</v>
      </c>
      <c r="D70" s="6" t="s">
        <v>191</v>
      </c>
      <c r="E70" s="6" t="s">
        <v>34</v>
      </c>
    </row>
    <row r="71" spans="1:5" ht="15">
      <c r="A71" s="6" t="s">
        <v>8</v>
      </c>
      <c r="B71" s="9">
        <v>4</v>
      </c>
      <c r="C71" s="9"/>
      <c r="D71" s="9"/>
      <c r="E71" s="9"/>
    </row>
    <row r="72" spans="1:5" ht="15">
      <c r="A72" s="6" t="s">
        <v>9</v>
      </c>
      <c r="B72" s="9">
        <v>4</v>
      </c>
      <c r="C72" s="9">
        <v>13</v>
      </c>
      <c r="D72" s="9"/>
      <c r="E72" s="9"/>
    </row>
    <row r="73" spans="1:5" ht="15">
      <c r="A73" s="6" t="s">
        <v>10</v>
      </c>
      <c r="B73" s="9"/>
      <c r="C73" s="9"/>
      <c r="D73" s="9"/>
      <c r="E73" s="9"/>
    </row>
    <row r="74" spans="1:5" ht="15">
      <c r="A74" s="6" t="s">
        <v>11</v>
      </c>
      <c r="B74" s="9"/>
      <c r="C74" s="9"/>
      <c r="D74" s="9"/>
      <c r="E74" s="9"/>
    </row>
    <row r="75" spans="1:5" ht="15">
      <c r="A75" s="6" t="s">
        <v>12</v>
      </c>
      <c r="B75" s="9"/>
      <c r="C75" s="9"/>
      <c r="D75" s="9"/>
      <c r="E75" s="9"/>
    </row>
    <row r="76" spans="1:5" ht="15">
      <c r="A76" s="6" t="s">
        <v>13</v>
      </c>
      <c r="B76" s="9"/>
      <c r="C76" s="9"/>
      <c r="D76" s="9"/>
      <c r="E76" s="9"/>
    </row>
    <row r="77" spans="1:5" ht="15">
      <c r="A77" s="6" t="s">
        <v>14</v>
      </c>
      <c r="B77" s="9"/>
      <c r="C77" s="9"/>
      <c r="D77" s="9"/>
      <c r="E77" s="9"/>
    </row>
    <row r="78" spans="1:5" ht="15">
      <c r="A78" s="10"/>
      <c r="B78" s="6" t="s">
        <v>17</v>
      </c>
      <c r="C78" s="6" t="s">
        <v>18</v>
      </c>
      <c r="D78" s="10"/>
      <c r="E78" s="10"/>
    </row>
    <row r="79" spans="1:5" ht="15">
      <c r="A79" s="6" t="s">
        <v>16</v>
      </c>
      <c r="B79" s="9">
        <v>1</v>
      </c>
      <c r="C79" s="9">
        <v>24</v>
      </c>
      <c r="D79" s="10"/>
      <c r="E79" s="10"/>
    </row>
    <row r="80" spans="1:5" ht="15">
      <c r="A80" s="6" t="s">
        <v>15</v>
      </c>
      <c r="B80" s="9"/>
      <c r="C80" s="9"/>
      <c r="D80" s="10"/>
      <c r="E80" s="10"/>
    </row>
    <row r="83" spans="1:5" ht="15">
      <c r="A83" s="28" t="s">
        <v>7</v>
      </c>
      <c r="B83" s="6" t="s">
        <v>17</v>
      </c>
      <c r="C83" s="10"/>
      <c r="D83" s="10"/>
      <c r="E83" s="10"/>
    </row>
    <row r="84" spans="1:5" ht="15">
      <c r="A84" s="8" t="s">
        <v>103</v>
      </c>
      <c r="B84" s="9">
        <v>22</v>
      </c>
      <c r="C84" s="10"/>
      <c r="D84" s="10"/>
      <c r="E84" s="10"/>
    </row>
    <row r="85" spans="1:5" ht="15">
      <c r="A85" s="10"/>
      <c r="B85" s="6" t="s">
        <v>17</v>
      </c>
      <c r="C85" s="6" t="s">
        <v>190</v>
      </c>
      <c r="D85" s="6" t="s">
        <v>191</v>
      </c>
      <c r="E85" s="6" t="s">
        <v>34</v>
      </c>
    </row>
    <row r="86" spans="1:5" ht="15">
      <c r="A86" s="6" t="s">
        <v>8</v>
      </c>
      <c r="B86" s="9">
        <v>111</v>
      </c>
      <c r="C86" s="9"/>
      <c r="D86" s="9"/>
      <c r="E86" s="9"/>
    </row>
    <row r="87" spans="1:5" ht="15">
      <c r="A87" s="6" t="s">
        <v>9</v>
      </c>
      <c r="B87" s="9">
        <v>94</v>
      </c>
      <c r="C87" s="9">
        <v>13</v>
      </c>
      <c r="D87" s="9"/>
      <c r="E87" s="9"/>
    </row>
    <row r="88" spans="1:5" ht="15">
      <c r="A88" s="6" t="s">
        <v>10</v>
      </c>
      <c r="B88" s="9">
        <v>17</v>
      </c>
      <c r="C88" s="9">
        <v>19</v>
      </c>
      <c r="D88" s="9"/>
      <c r="E88" s="9" t="s">
        <v>35</v>
      </c>
    </row>
    <row r="89" spans="1:5" ht="15">
      <c r="A89" s="6" t="s">
        <v>11</v>
      </c>
      <c r="B89" s="9"/>
      <c r="C89" s="9"/>
      <c r="D89" s="9"/>
      <c r="E89" s="9"/>
    </row>
    <row r="90" spans="1:5" ht="15">
      <c r="A90" s="6" t="s">
        <v>12</v>
      </c>
      <c r="B90" s="9"/>
      <c r="C90" s="9"/>
      <c r="D90" s="9"/>
      <c r="E90" s="9"/>
    </row>
    <row r="91" spans="1:5" ht="15">
      <c r="A91" s="6" t="s">
        <v>13</v>
      </c>
      <c r="B91" s="9"/>
      <c r="C91" s="9"/>
      <c r="D91" s="9"/>
      <c r="E91" s="9"/>
    </row>
    <row r="92" spans="1:5" ht="15">
      <c r="A92" s="6" t="s">
        <v>14</v>
      </c>
      <c r="B92" s="9"/>
      <c r="C92" s="9"/>
      <c r="D92" s="9"/>
      <c r="E92" s="9"/>
    </row>
    <row r="93" spans="1:5" ht="15">
      <c r="A93" s="10"/>
      <c r="B93" s="6" t="s">
        <v>17</v>
      </c>
      <c r="C93" s="6" t="s">
        <v>18</v>
      </c>
      <c r="D93" s="10"/>
      <c r="E93" s="10"/>
    </row>
    <row r="94" spans="1:5" ht="15">
      <c r="A94" s="6" t="s">
        <v>16</v>
      </c>
      <c r="B94" s="9">
        <v>22</v>
      </c>
      <c r="C94" s="9">
        <v>24</v>
      </c>
      <c r="D94" s="10"/>
      <c r="E94" s="10"/>
    </row>
    <row r="95" spans="1:5" ht="15">
      <c r="A95" s="6" t="s">
        <v>15</v>
      </c>
      <c r="B95" s="9"/>
      <c r="C95" s="9"/>
      <c r="D95" s="10"/>
      <c r="E95" s="10"/>
    </row>
    <row r="98" spans="1:5" ht="15">
      <c r="A98" s="5" t="s">
        <v>7</v>
      </c>
      <c r="B98" s="6" t="s">
        <v>17</v>
      </c>
      <c r="C98" s="10"/>
      <c r="D98" s="10"/>
      <c r="E98" s="10"/>
    </row>
    <row r="99" spans="1:5" ht="15">
      <c r="A99" s="8" t="s">
        <v>104</v>
      </c>
      <c r="B99" s="9">
        <v>7</v>
      </c>
      <c r="C99" s="10"/>
      <c r="D99" s="10"/>
      <c r="E99" s="10"/>
    </row>
    <row r="100" spans="1:5" ht="15">
      <c r="A100" s="10"/>
      <c r="B100" s="6" t="s">
        <v>17</v>
      </c>
      <c r="C100" s="6" t="s">
        <v>190</v>
      </c>
      <c r="D100" s="6" t="s">
        <v>191</v>
      </c>
      <c r="E100" s="6" t="s">
        <v>34</v>
      </c>
    </row>
    <row r="101" spans="1:5" ht="15">
      <c r="A101" s="6" t="s">
        <v>8</v>
      </c>
      <c r="B101" s="9">
        <v>28</v>
      </c>
      <c r="C101" s="9"/>
      <c r="D101" s="9"/>
      <c r="E101" s="9"/>
    </row>
    <row r="102" spans="1:5" ht="15">
      <c r="A102" s="6" t="s">
        <v>9</v>
      </c>
      <c r="B102" s="9">
        <v>28</v>
      </c>
      <c r="C102" s="9">
        <v>13</v>
      </c>
      <c r="D102" s="9"/>
      <c r="E102" s="9"/>
    </row>
    <row r="103" spans="1:5" ht="15">
      <c r="A103" s="6" t="s">
        <v>10</v>
      </c>
      <c r="B103" s="9"/>
      <c r="C103" s="9"/>
      <c r="D103" s="9"/>
      <c r="E103" s="9"/>
    </row>
    <row r="104" spans="1:5" ht="15">
      <c r="A104" s="6" t="s">
        <v>11</v>
      </c>
      <c r="B104" s="9"/>
      <c r="C104" s="9"/>
      <c r="D104" s="9"/>
      <c r="E104" s="9"/>
    </row>
    <row r="105" spans="1:5" ht="15">
      <c r="A105" s="6" t="s">
        <v>12</v>
      </c>
      <c r="B105" s="9"/>
      <c r="C105" s="9"/>
      <c r="D105" s="9"/>
      <c r="E105" s="9"/>
    </row>
    <row r="106" spans="1:5" ht="15">
      <c r="A106" s="6" t="s">
        <v>13</v>
      </c>
      <c r="B106" s="9"/>
      <c r="C106" s="9"/>
      <c r="D106" s="9"/>
      <c r="E106" s="9"/>
    </row>
    <row r="107" spans="1:5" ht="15">
      <c r="A107" s="6" t="s">
        <v>14</v>
      </c>
      <c r="B107" s="9"/>
      <c r="C107" s="9"/>
      <c r="D107" s="9"/>
      <c r="E107" s="9"/>
    </row>
    <row r="108" spans="1:5" ht="15">
      <c r="A108" s="10"/>
      <c r="B108" s="6" t="s">
        <v>17</v>
      </c>
      <c r="C108" s="6" t="s">
        <v>18</v>
      </c>
      <c r="D108" s="10"/>
      <c r="E108" s="10"/>
    </row>
    <row r="109" spans="1:5" ht="15">
      <c r="A109" s="6" t="s">
        <v>16</v>
      </c>
      <c r="B109" s="9">
        <v>7</v>
      </c>
      <c r="C109" s="9">
        <v>19</v>
      </c>
      <c r="D109" s="10"/>
      <c r="E109" s="10"/>
    </row>
    <row r="110" spans="1:5" ht="15">
      <c r="A110" s="6" t="s">
        <v>15</v>
      </c>
      <c r="B110" s="9"/>
      <c r="C110" s="9"/>
      <c r="D110" s="10"/>
      <c r="E110" s="10"/>
    </row>
    <row r="113" spans="1:5" ht="15">
      <c r="A113" s="16"/>
      <c r="B113" s="15"/>
      <c r="C113" s="3"/>
      <c r="D113" s="3"/>
      <c r="E113" s="3"/>
    </row>
    <row r="114" spans="1:5" ht="15">
      <c r="A114" s="17"/>
      <c r="B114" s="18"/>
      <c r="C114" s="3"/>
      <c r="D114" s="3"/>
      <c r="E114" s="3"/>
    </row>
    <row r="115" spans="1:5" ht="15">
      <c r="A115" s="3"/>
      <c r="B115" s="15"/>
      <c r="C115" s="15"/>
      <c r="D115" s="15"/>
      <c r="E115" s="15"/>
    </row>
    <row r="116" spans="1:5" ht="15">
      <c r="A116" s="15"/>
      <c r="B116" s="18"/>
      <c r="C116" s="18"/>
      <c r="D116" s="18"/>
      <c r="E116" s="18"/>
    </row>
    <row r="117" spans="1:5" ht="15">
      <c r="A117" s="15"/>
      <c r="B117" s="18"/>
      <c r="C117" s="18"/>
      <c r="D117" s="18"/>
      <c r="E117" s="18"/>
    </row>
    <row r="118" spans="1:5" ht="15">
      <c r="A118" s="15"/>
      <c r="B118" s="18"/>
      <c r="C118" s="18"/>
      <c r="D118" s="18"/>
      <c r="E118" s="18"/>
    </row>
    <row r="119" spans="1:5" ht="15">
      <c r="A119" s="15"/>
      <c r="B119" s="18"/>
      <c r="C119" s="18"/>
      <c r="D119" s="18"/>
      <c r="E119" s="18"/>
    </row>
    <row r="120" spans="1:5" ht="15">
      <c r="A120" s="15"/>
      <c r="B120" s="18"/>
      <c r="C120" s="18"/>
      <c r="D120" s="18"/>
      <c r="E120" s="18"/>
    </row>
    <row r="121" spans="1:5" ht="15">
      <c r="A121" s="15"/>
      <c r="B121" s="18"/>
      <c r="C121" s="18"/>
      <c r="D121" s="18"/>
      <c r="E121" s="18"/>
    </row>
    <row r="122" spans="1:5" ht="15">
      <c r="A122" s="15"/>
      <c r="B122" s="18"/>
      <c r="C122" s="18"/>
      <c r="D122" s="18"/>
      <c r="E122" s="18"/>
    </row>
    <row r="123" spans="1:5" ht="15">
      <c r="A123" s="3"/>
      <c r="B123" s="15"/>
      <c r="C123" s="15"/>
      <c r="D123" s="3"/>
      <c r="E123" s="3"/>
    </row>
    <row r="124" spans="1:5" ht="15">
      <c r="A124" s="15"/>
      <c r="B124" s="18"/>
      <c r="C124" s="18"/>
      <c r="D124" s="3"/>
      <c r="E124" s="3"/>
    </row>
    <row r="125" spans="1:5" ht="15">
      <c r="A125" s="15"/>
      <c r="B125" s="18"/>
      <c r="C125" s="18"/>
      <c r="D125" s="3"/>
      <c r="E125" s="3"/>
    </row>
  </sheetData>
  <sheetProtection/>
  <printOptions/>
  <pageMargins left="0.7" right="0.7" top="0.75" bottom="0.75" header="0.3" footer="0.3"/>
  <pageSetup horizontalDpi="600" verticalDpi="600" orientation="landscape" paperSize="9" scale="73" r:id="rId1"/>
  <rowBreaks count="2" manualBreakCount="2">
    <brk id="36" max="255" man="1"/>
    <brk id="81" max="255" man="1"/>
  </rowBreaks>
  <colBreaks count="2" manualBreakCount="2">
    <brk id="6" max="65535" man="1"/>
    <brk id="13" max="65535" man="1"/>
  </colBreaks>
</worksheet>
</file>

<file path=xl/worksheets/sheet11.xml><?xml version="1.0" encoding="utf-8"?>
<worksheet xmlns="http://schemas.openxmlformats.org/spreadsheetml/2006/main" xmlns:r="http://schemas.openxmlformats.org/officeDocument/2006/relationships">
  <sheetPr>
    <tabColor theme="9"/>
  </sheetPr>
  <dimension ref="A1:X47"/>
  <sheetViews>
    <sheetView view="pageBreakPreview" zoomScale="60" zoomScaleNormal="70" zoomScalePageLayoutView="0" workbookViewId="0" topLeftCell="A1">
      <selection activeCell="K27" sqref="K27"/>
    </sheetView>
  </sheetViews>
  <sheetFormatPr defaultColWidth="9.140625" defaultRowHeight="15"/>
  <cols>
    <col min="1" max="1" width="33.00390625" style="0" customWidth="1"/>
    <col min="3" max="3" width="19.140625" style="0" bestFit="1" customWidth="1"/>
    <col min="4" max="4" width="24.421875" style="0" bestFit="1" customWidth="1"/>
    <col min="5" max="5" width="15.7109375" style="0" bestFit="1" customWidth="1"/>
    <col min="8" max="8" width="8.140625" style="0" customWidth="1"/>
    <col min="11" max="11" width="95.00390625" style="0" bestFit="1" customWidth="1"/>
    <col min="12" max="12" width="11.140625" style="0" bestFit="1" customWidth="1"/>
    <col min="14" max="24" width="15.7109375" style="0" customWidth="1"/>
  </cols>
  <sheetData>
    <row r="1" spans="1:2" ht="15.75" thickBot="1">
      <c r="A1" s="6" t="s">
        <v>19</v>
      </c>
      <c r="B1" s="10"/>
    </row>
    <row r="2" spans="1:24" ht="75">
      <c r="A2" s="7" t="s">
        <v>0</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90</v>
      </c>
      <c r="N3" s="140" t="s">
        <v>168</v>
      </c>
      <c r="O3" s="107">
        <f>P3/Q3</f>
        <v>5</v>
      </c>
      <c r="P3" s="98">
        <f>B8</f>
        <v>200</v>
      </c>
      <c r="Q3" s="98">
        <f>B6</f>
        <v>40</v>
      </c>
      <c r="R3" s="98">
        <f>B16</f>
        <v>40</v>
      </c>
      <c r="S3" s="98">
        <f>C16</f>
        <v>28.5</v>
      </c>
      <c r="T3" s="98">
        <v>0</v>
      </c>
      <c r="U3" s="99">
        <f>P3-T3</f>
        <v>200</v>
      </c>
      <c r="V3" s="100">
        <f>R3*S3</f>
        <v>1140</v>
      </c>
      <c r="W3" s="134">
        <f>V3/P3</f>
        <v>5.7</v>
      </c>
      <c r="X3" s="135">
        <f>V3/U3</f>
        <v>5.7</v>
      </c>
    </row>
    <row r="4" spans="14:24" ht="15">
      <c r="N4" s="141"/>
      <c r="O4" s="108">
        <f>P4/Q4</f>
        <v>6</v>
      </c>
      <c r="P4" s="94">
        <f>B23</f>
        <v>96</v>
      </c>
      <c r="Q4" s="94">
        <f>B21</f>
        <v>16</v>
      </c>
      <c r="R4" s="94">
        <f>B31</f>
        <v>16</v>
      </c>
      <c r="S4" s="94">
        <f>C31</f>
        <v>26.3</v>
      </c>
      <c r="T4" s="94">
        <v>0</v>
      </c>
      <c r="U4" s="95">
        <f>P4-T4</f>
        <v>96</v>
      </c>
      <c r="V4" s="96">
        <f>R4*S4</f>
        <v>420.8</v>
      </c>
      <c r="W4" s="136">
        <f>V4/P4</f>
        <v>4.383333333333334</v>
      </c>
      <c r="X4" s="137">
        <f>V4/U4</f>
        <v>4.383333333333334</v>
      </c>
    </row>
    <row r="5" spans="1:24" ht="15">
      <c r="A5" s="28" t="s">
        <v>7</v>
      </c>
      <c r="B5" s="6" t="s">
        <v>17</v>
      </c>
      <c r="C5" s="10"/>
      <c r="D5" s="10"/>
      <c r="E5" s="10"/>
      <c r="K5" s="20" t="str">
        <f>'Summary Sheet'!C6</f>
        <v>General Communal Area</v>
      </c>
      <c r="L5" s="182">
        <f>B3</f>
        <v>90</v>
      </c>
      <c r="N5" s="141"/>
      <c r="O5" s="108">
        <f>P5/Q5</f>
        <v>6</v>
      </c>
      <c r="P5" s="94">
        <f>B38</f>
        <v>108</v>
      </c>
      <c r="Q5" s="94">
        <f>B36</f>
        <v>18</v>
      </c>
      <c r="R5" s="94">
        <f>B46</f>
        <v>18</v>
      </c>
      <c r="S5" s="94">
        <f>C46</f>
        <v>26.9</v>
      </c>
      <c r="T5" s="94">
        <f>B40</f>
        <v>18</v>
      </c>
      <c r="U5" s="95">
        <f>P5-T5</f>
        <v>90</v>
      </c>
      <c r="V5" s="96">
        <f>R5*S5</f>
        <v>484.2</v>
      </c>
      <c r="W5" s="136">
        <f>V5/P5</f>
        <v>4.483333333333333</v>
      </c>
      <c r="X5" s="137">
        <f>V5/U5</f>
        <v>5.38</v>
      </c>
    </row>
    <row r="6" spans="1:24" ht="15">
      <c r="A6" s="8" t="s">
        <v>22</v>
      </c>
      <c r="B6" s="9">
        <v>40</v>
      </c>
      <c r="C6" s="10"/>
      <c r="D6" s="10"/>
      <c r="E6" s="10"/>
      <c r="K6" s="20" t="str">
        <f>'Summary Sheet'!C7</f>
        <v>Kitchen / Dining / Living Area (Shared Internal Area)</v>
      </c>
      <c r="L6" s="182">
        <f>(B16*C16)+(B31+C31)+(B46*C46)</f>
        <v>1666.5</v>
      </c>
      <c r="N6" s="141"/>
      <c r="O6" s="108"/>
      <c r="P6" s="94"/>
      <c r="Q6" s="94"/>
      <c r="R6" s="94"/>
      <c r="S6" s="94"/>
      <c r="T6" s="94"/>
      <c r="U6" s="95"/>
      <c r="V6" s="96"/>
      <c r="W6" s="136"/>
      <c r="X6" s="137"/>
    </row>
    <row r="7" spans="1:24" ht="15">
      <c r="A7" s="10"/>
      <c r="B7" s="6" t="s">
        <v>17</v>
      </c>
      <c r="C7" s="6" t="s">
        <v>190</v>
      </c>
      <c r="D7" s="6" t="s">
        <v>191</v>
      </c>
      <c r="E7" s="6" t="s">
        <v>34</v>
      </c>
      <c r="K7" s="20" t="str">
        <f>'Summary Sheet'!C8</f>
        <v>Total Communal Area</v>
      </c>
      <c r="L7" s="185">
        <f>SUM(L5:L6)</f>
        <v>1756.5</v>
      </c>
      <c r="N7" s="141"/>
      <c r="O7" s="108"/>
      <c r="P7" s="94"/>
      <c r="Q7" s="94"/>
      <c r="R7" s="94"/>
      <c r="S7" s="94"/>
      <c r="T7" s="94"/>
      <c r="U7" s="95"/>
      <c r="V7" s="96"/>
      <c r="W7" s="136"/>
      <c r="X7" s="137"/>
    </row>
    <row r="8" spans="1:24" ht="15">
      <c r="A8" s="6" t="s">
        <v>8</v>
      </c>
      <c r="B8" s="9">
        <v>200</v>
      </c>
      <c r="C8" s="9"/>
      <c r="D8" s="9"/>
      <c r="E8" s="9"/>
      <c r="K8" s="20"/>
      <c r="L8" s="182"/>
      <c r="N8" s="141"/>
      <c r="O8" s="108"/>
      <c r="P8" s="94"/>
      <c r="Q8" s="94"/>
      <c r="R8" s="94"/>
      <c r="S8" s="94"/>
      <c r="T8" s="94"/>
      <c r="U8" s="95"/>
      <c r="V8" s="96"/>
      <c r="W8" s="136"/>
      <c r="X8" s="137"/>
    </row>
    <row r="9" spans="1:24" ht="15">
      <c r="A9" s="6" t="s">
        <v>9</v>
      </c>
      <c r="B9" s="9">
        <v>200</v>
      </c>
      <c r="C9" s="9">
        <v>13.8</v>
      </c>
      <c r="D9" s="9"/>
      <c r="E9" s="9"/>
      <c r="K9" s="20"/>
      <c r="L9" s="182"/>
      <c r="N9" s="141"/>
      <c r="O9" s="108"/>
      <c r="P9" s="94"/>
      <c r="Q9" s="94"/>
      <c r="R9" s="94"/>
      <c r="S9" s="94"/>
      <c r="T9" s="94"/>
      <c r="U9" s="95"/>
      <c r="V9" s="96"/>
      <c r="W9" s="136"/>
      <c r="X9" s="137"/>
    </row>
    <row r="10" spans="1:24" ht="15">
      <c r="A10" s="6" t="s">
        <v>10</v>
      </c>
      <c r="B10" s="9"/>
      <c r="C10" s="9"/>
      <c r="D10" s="9"/>
      <c r="E10" s="9"/>
      <c r="K10" s="20" t="str">
        <f>'Summary Sheet'!C10</f>
        <v>Number of Bedrooms (cluster &amp; studio) (non Accessible)</v>
      </c>
      <c r="L10" s="6">
        <f>B9+B24+B25+B39</f>
        <v>386</v>
      </c>
      <c r="N10" s="141"/>
      <c r="O10" s="108"/>
      <c r="P10" s="94"/>
      <c r="Q10" s="94"/>
      <c r="R10" s="94"/>
      <c r="S10" s="94"/>
      <c r="T10" s="94"/>
      <c r="U10" s="95"/>
      <c r="V10" s="96"/>
      <c r="W10" s="136"/>
      <c r="X10" s="137"/>
    </row>
    <row r="11" spans="1:24" ht="15">
      <c r="A11" s="6" t="s">
        <v>11</v>
      </c>
      <c r="B11" s="9"/>
      <c r="C11" s="9"/>
      <c r="D11" s="9"/>
      <c r="E11" s="9"/>
      <c r="K11" s="20" t="str">
        <f>'Summary Sheet'!C11</f>
        <v>Total Area of Bedrooms (cluster &amp; studio) (non Accessible)</v>
      </c>
      <c r="L11" s="182">
        <f>(B9*C9)+(B24*C24)+(B25*C25)+(B39*C39)</f>
        <v>5464.4</v>
      </c>
      <c r="N11" s="141"/>
      <c r="O11" s="108"/>
      <c r="P11" s="94"/>
      <c r="Q11" s="94"/>
      <c r="R11" s="94"/>
      <c r="S11" s="94"/>
      <c r="T11" s="94"/>
      <c r="U11" s="96"/>
      <c r="V11" s="96"/>
      <c r="W11" s="136"/>
      <c r="X11" s="137"/>
    </row>
    <row r="12" spans="1:24" ht="15">
      <c r="A12" s="6" t="s">
        <v>12</v>
      </c>
      <c r="B12" s="9"/>
      <c r="C12" s="9"/>
      <c r="D12" s="9"/>
      <c r="E12" s="9"/>
      <c r="K12" s="20" t="str">
        <f>'Summary Sheet'!C12</f>
        <v>Average size of Bedroom (cluster &amp; studio) (non Accessible)</v>
      </c>
      <c r="L12" s="185">
        <f>L11/L10</f>
        <v>14.156476683937823</v>
      </c>
      <c r="N12" s="141"/>
      <c r="O12" s="108"/>
      <c r="P12" s="94"/>
      <c r="Q12" s="94"/>
      <c r="R12" s="94"/>
      <c r="S12" s="94"/>
      <c r="T12" s="94"/>
      <c r="U12" s="95"/>
      <c r="V12" s="96"/>
      <c r="W12" s="136"/>
      <c r="X12" s="137"/>
    </row>
    <row r="13" spans="1:24" ht="15">
      <c r="A13" s="6" t="s">
        <v>13</v>
      </c>
      <c r="B13" s="9"/>
      <c r="C13" s="9"/>
      <c r="D13" s="9"/>
      <c r="E13" s="9"/>
      <c r="K13" s="20"/>
      <c r="L13" s="185"/>
      <c r="N13" s="141"/>
      <c r="O13" s="108"/>
      <c r="P13" s="94"/>
      <c r="Q13" s="94"/>
      <c r="R13" s="94"/>
      <c r="S13" s="94"/>
      <c r="T13" s="94"/>
      <c r="U13" s="95"/>
      <c r="V13" s="96"/>
      <c r="W13" s="136"/>
      <c r="X13" s="137"/>
    </row>
    <row r="14" spans="1:24" ht="15">
      <c r="A14" s="6" t="s">
        <v>14</v>
      </c>
      <c r="B14" s="9"/>
      <c r="C14" s="9"/>
      <c r="D14" s="9"/>
      <c r="E14" s="9"/>
      <c r="K14" s="20" t="str">
        <f>'Summary Sheet'!C14</f>
        <v>Number of Cluster Bedrooms (non Accessible)</v>
      </c>
      <c r="L14" s="186">
        <f>L10</f>
        <v>386</v>
      </c>
      <c r="N14" s="141"/>
      <c r="O14" s="108"/>
      <c r="P14" s="94"/>
      <c r="Q14" s="94"/>
      <c r="R14" s="94"/>
      <c r="S14" s="94"/>
      <c r="T14" s="94"/>
      <c r="U14" s="95"/>
      <c r="V14" s="96"/>
      <c r="W14" s="136"/>
      <c r="X14" s="137"/>
    </row>
    <row r="15" spans="1:24" ht="15">
      <c r="A15" s="10"/>
      <c r="B15" s="6" t="s">
        <v>17</v>
      </c>
      <c r="C15" s="6" t="s">
        <v>18</v>
      </c>
      <c r="D15" s="10"/>
      <c r="E15" s="10"/>
      <c r="K15" s="20" t="str">
        <f>'Summary Sheet'!C15</f>
        <v>Total Area of Cluster Bedrooms (non Accessible)</v>
      </c>
      <c r="L15" s="6">
        <f>L11</f>
        <v>5464.4</v>
      </c>
      <c r="N15" s="141"/>
      <c r="O15" s="108"/>
      <c r="P15" s="94"/>
      <c r="Q15" s="94"/>
      <c r="R15" s="94"/>
      <c r="S15" s="94"/>
      <c r="T15" s="94"/>
      <c r="U15" s="95"/>
      <c r="V15" s="96"/>
      <c r="W15" s="136"/>
      <c r="X15" s="137"/>
    </row>
    <row r="16" spans="1:24" ht="15">
      <c r="A16" s="6" t="s">
        <v>16</v>
      </c>
      <c r="B16" s="9">
        <v>40</v>
      </c>
      <c r="C16" s="9">
        <v>28.5</v>
      </c>
      <c r="D16" s="10"/>
      <c r="E16" s="10"/>
      <c r="K16" s="20" t="str">
        <f>'Summary Sheet'!C16</f>
        <v>Average Size of Cluster Bedroom (non Accessible)</v>
      </c>
      <c r="L16" s="187">
        <f>L12</f>
        <v>14.156476683937823</v>
      </c>
      <c r="N16" s="141"/>
      <c r="O16" s="108"/>
      <c r="P16" s="94"/>
      <c r="Q16" s="94"/>
      <c r="R16" s="94"/>
      <c r="S16" s="94"/>
      <c r="T16" s="94"/>
      <c r="U16" s="95"/>
      <c r="V16" s="96"/>
      <c r="W16" s="136"/>
      <c r="X16" s="137"/>
    </row>
    <row r="17" spans="1:24" ht="15">
      <c r="A17" s="6" t="s">
        <v>15</v>
      </c>
      <c r="B17" s="9"/>
      <c r="C17" s="9"/>
      <c r="D17" s="10"/>
      <c r="E17" s="10"/>
      <c r="K17" s="20"/>
      <c r="L17" s="188"/>
      <c r="N17" s="141"/>
      <c r="O17" s="108"/>
      <c r="P17" s="94"/>
      <c r="Q17" s="94"/>
      <c r="R17" s="94"/>
      <c r="S17" s="94"/>
      <c r="T17" s="94"/>
      <c r="U17" s="95"/>
      <c r="V17" s="96"/>
      <c r="W17" s="136"/>
      <c r="X17" s="137"/>
    </row>
    <row r="18" spans="11:24" ht="15">
      <c r="K18" s="20" t="str">
        <f>'Summary Sheet'!C18</f>
        <v>Number of Studio Bedspaces (non Accessible)</v>
      </c>
      <c r="L18" s="186">
        <v>0</v>
      </c>
      <c r="N18" s="141"/>
      <c r="O18" s="108"/>
      <c r="P18" s="94"/>
      <c r="Q18" s="94"/>
      <c r="R18" s="94"/>
      <c r="S18" s="94"/>
      <c r="T18" s="94"/>
      <c r="U18" s="95"/>
      <c r="V18" s="96"/>
      <c r="W18" s="136"/>
      <c r="X18" s="137"/>
    </row>
    <row r="19" spans="11:24" ht="15">
      <c r="K19" s="20" t="str">
        <f>'Summary Sheet'!C19</f>
        <v>Total Area of Studio Bedspace (non Accessible)</v>
      </c>
      <c r="L19" s="186">
        <v>0</v>
      </c>
      <c r="N19" s="141"/>
      <c r="O19" s="108"/>
      <c r="P19" s="94"/>
      <c r="Q19" s="94"/>
      <c r="R19" s="94"/>
      <c r="S19" s="94"/>
      <c r="T19" s="94"/>
      <c r="U19" s="95"/>
      <c r="V19" s="96"/>
      <c r="W19" s="136"/>
      <c r="X19" s="137"/>
    </row>
    <row r="20" spans="1:24" ht="15">
      <c r="A20" s="28" t="s">
        <v>7</v>
      </c>
      <c r="B20" s="6" t="s">
        <v>17</v>
      </c>
      <c r="C20" s="10"/>
      <c r="D20" s="10"/>
      <c r="E20" s="10"/>
      <c r="K20" s="20" t="str">
        <f>'Summary Sheet'!C20</f>
        <v>Average Size of Studio Bedspaces (non Accessible)</v>
      </c>
      <c r="L20" s="189">
        <v>0</v>
      </c>
      <c r="N20" s="141"/>
      <c r="O20" s="108"/>
      <c r="P20" s="94"/>
      <c r="Q20" s="94"/>
      <c r="R20" s="94"/>
      <c r="S20" s="94"/>
      <c r="T20" s="94"/>
      <c r="U20" s="95"/>
      <c r="V20" s="96"/>
      <c r="W20" s="136"/>
      <c r="X20" s="137"/>
    </row>
    <row r="21" spans="1:24" ht="15">
      <c r="A21" s="8" t="s">
        <v>23</v>
      </c>
      <c r="B21" s="9">
        <v>16</v>
      </c>
      <c r="C21" s="10"/>
      <c r="D21" s="10"/>
      <c r="E21" s="10"/>
      <c r="K21" s="20"/>
      <c r="L21" s="182"/>
      <c r="N21" s="141"/>
      <c r="O21" s="108"/>
      <c r="P21" s="94"/>
      <c r="Q21" s="94"/>
      <c r="R21" s="94"/>
      <c r="S21" s="94"/>
      <c r="T21" s="94"/>
      <c r="U21" s="95"/>
      <c r="V21" s="96"/>
      <c r="W21" s="136"/>
      <c r="X21" s="137"/>
    </row>
    <row r="22" spans="1:24" ht="15">
      <c r="A22" s="10"/>
      <c r="B22" s="6" t="s">
        <v>17</v>
      </c>
      <c r="C22" s="6" t="s">
        <v>190</v>
      </c>
      <c r="D22" s="6" t="s">
        <v>191</v>
      </c>
      <c r="E22" s="6" t="s">
        <v>34</v>
      </c>
      <c r="K22" s="6" t="str">
        <f>'Summary Sheet'!C24</f>
        <v>Total Number of Bedrooms Inc Accessible</v>
      </c>
      <c r="L22" s="6">
        <f>L10+B40</f>
        <v>404</v>
      </c>
      <c r="N22" s="141"/>
      <c r="O22" s="108"/>
      <c r="P22" s="94"/>
      <c r="Q22" s="94"/>
      <c r="R22" s="94"/>
      <c r="S22" s="94"/>
      <c r="T22" s="94"/>
      <c r="U22" s="95"/>
      <c r="V22" s="96"/>
      <c r="W22" s="136"/>
      <c r="X22" s="137"/>
    </row>
    <row r="23" spans="1:24" ht="15">
      <c r="A23" s="6" t="s">
        <v>8</v>
      </c>
      <c r="B23" s="9">
        <v>96</v>
      </c>
      <c r="C23" s="9"/>
      <c r="D23" s="9"/>
      <c r="E23" s="9"/>
      <c r="K23" s="6" t="str">
        <f>'Summary Sheet'!C26</f>
        <v>Number of Accessible Bedrooms</v>
      </c>
      <c r="L23" s="6">
        <f>L22-L10</f>
        <v>18</v>
      </c>
      <c r="N23" s="141"/>
      <c r="O23" s="108"/>
      <c r="P23" s="94"/>
      <c r="Q23" s="94"/>
      <c r="R23" s="94"/>
      <c r="S23" s="94"/>
      <c r="T23" s="94"/>
      <c r="U23" s="95"/>
      <c r="V23" s="96"/>
      <c r="W23" s="136"/>
      <c r="X23" s="137"/>
    </row>
    <row r="24" spans="1:24" ht="15">
      <c r="A24" s="6" t="s">
        <v>9</v>
      </c>
      <c r="B24" s="9">
        <v>64</v>
      </c>
      <c r="C24" s="9">
        <v>13.8</v>
      </c>
      <c r="D24" s="9"/>
      <c r="E24" s="9"/>
      <c r="K24" s="198" t="str">
        <f>'Summary Sheet'!C27</f>
        <v>Average Size of Accessible Bedroom</v>
      </c>
      <c r="L24" s="198">
        <f>(B40*C40)/L23</f>
        <v>20.8</v>
      </c>
      <c r="N24" s="141"/>
      <c r="O24" s="108"/>
      <c r="P24" s="94"/>
      <c r="Q24" s="94"/>
      <c r="R24" s="94"/>
      <c r="S24" s="94"/>
      <c r="T24" s="94"/>
      <c r="U24" s="95"/>
      <c r="V24" s="96"/>
      <c r="W24" s="136"/>
      <c r="X24" s="137"/>
    </row>
    <row r="25" spans="1:24" ht="15">
      <c r="A25" s="6" t="s">
        <v>10</v>
      </c>
      <c r="B25" s="9">
        <v>32</v>
      </c>
      <c r="C25" s="9">
        <v>18.1</v>
      </c>
      <c r="D25" s="9"/>
      <c r="E25" s="9"/>
      <c r="K25" s="201"/>
      <c r="L25" s="202"/>
      <c r="N25" s="141"/>
      <c r="O25" s="108"/>
      <c r="P25" s="94"/>
      <c r="Q25" s="94"/>
      <c r="R25" s="94"/>
      <c r="S25" s="94"/>
      <c r="T25" s="94"/>
      <c r="U25" s="95"/>
      <c r="V25" s="96"/>
      <c r="W25" s="136"/>
      <c r="X25" s="137"/>
    </row>
    <row r="26" spans="1:24" ht="15">
      <c r="A26" s="6" t="s">
        <v>11</v>
      </c>
      <c r="B26" s="9"/>
      <c r="C26" s="9"/>
      <c r="D26" s="9"/>
      <c r="E26" s="9"/>
      <c r="K26" s="12"/>
      <c r="L26" s="12"/>
      <c r="N26" s="141"/>
      <c r="O26" s="108"/>
      <c r="P26" s="94"/>
      <c r="Q26" s="94"/>
      <c r="R26" s="94"/>
      <c r="S26" s="94"/>
      <c r="T26" s="94"/>
      <c r="U26" s="95"/>
      <c r="V26" s="96"/>
      <c r="W26" s="136"/>
      <c r="X26" s="137"/>
    </row>
    <row r="27" spans="1:24" ht="15">
      <c r="A27" s="6" t="s">
        <v>12</v>
      </c>
      <c r="B27" s="9"/>
      <c r="C27" s="9"/>
      <c r="D27" s="9"/>
      <c r="E27" s="9"/>
      <c r="N27" s="141"/>
      <c r="O27" s="108"/>
      <c r="P27" s="94"/>
      <c r="Q27" s="94"/>
      <c r="R27" s="94"/>
      <c r="S27" s="94"/>
      <c r="T27" s="94"/>
      <c r="U27" s="95"/>
      <c r="V27" s="96"/>
      <c r="W27" s="136"/>
      <c r="X27" s="137"/>
    </row>
    <row r="28" spans="1:24" ht="15">
      <c r="A28" s="6" t="s">
        <v>13</v>
      </c>
      <c r="B28" s="9"/>
      <c r="C28" s="9"/>
      <c r="D28" s="9"/>
      <c r="E28" s="9"/>
      <c r="N28" s="141"/>
      <c r="O28" s="108"/>
      <c r="P28" s="94"/>
      <c r="Q28" s="94"/>
      <c r="R28" s="94"/>
      <c r="S28" s="94"/>
      <c r="T28" s="94"/>
      <c r="U28" s="95"/>
      <c r="V28" s="96"/>
      <c r="W28" s="136"/>
      <c r="X28" s="137"/>
    </row>
    <row r="29" spans="1:24" ht="15">
      <c r="A29" s="6" t="s">
        <v>14</v>
      </c>
      <c r="B29" s="9"/>
      <c r="C29" s="9"/>
      <c r="D29" s="9"/>
      <c r="E29" s="9"/>
      <c r="N29" s="141"/>
      <c r="O29" s="108"/>
      <c r="P29" s="94"/>
      <c r="Q29" s="94"/>
      <c r="R29" s="94"/>
      <c r="S29" s="94"/>
      <c r="T29" s="94"/>
      <c r="U29" s="95"/>
      <c r="V29" s="96"/>
      <c r="W29" s="136"/>
      <c r="X29" s="137"/>
    </row>
    <row r="30" spans="1:24" ht="15">
      <c r="A30" s="10"/>
      <c r="B30" s="6" t="s">
        <v>17</v>
      </c>
      <c r="C30" s="6" t="s">
        <v>18</v>
      </c>
      <c r="D30" s="10"/>
      <c r="E30" s="10"/>
      <c r="N30" s="141"/>
      <c r="O30" s="108"/>
      <c r="P30" s="94"/>
      <c r="Q30" s="94"/>
      <c r="R30" s="94"/>
      <c r="S30" s="94"/>
      <c r="T30" s="94"/>
      <c r="U30" s="95"/>
      <c r="V30" s="96"/>
      <c r="W30" s="136"/>
      <c r="X30" s="137"/>
    </row>
    <row r="31" spans="1:24" ht="15">
      <c r="A31" s="6" t="s">
        <v>16</v>
      </c>
      <c r="B31" s="9">
        <v>16</v>
      </c>
      <c r="C31" s="9">
        <v>26.3</v>
      </c>
      <c r="D31" s="10"/>
      <c r="E31" s="10"/>
      <c r="N31" s="141"/>
      <c r="O31" s="108"/>
      <c r="P31" s="94"/>
      <c r="Q31" s="94"/>
      <c r="R31" s="94"/>
      <c r="S31" s="94"/>
      <c r="T31" s="94"/>
      <c r="U31" s="95"/>
      <c r="V31" s="96"/>
      <c r="W31" s="136"/>
      <c r="X31" s="137"/>
    </row>
    <row r="32" spans="1:24" ht="15">
      <c r="A32" s="6" t="s">
        <v>15</v>
      </c>
      <c r="B32" s="9"/>
      <c r="C32" s="9"/>
      <c r="D32" s="10"/>
      <c r="E32" s="10"/>
      <c r="N32" s="141"/>
      <c r="O32" s="108"/>
      <c r="P32" s="94"/>
      <c r="Q32" s="94"/>
      <c r="R32" s="94"/>
      <c r="S32" s="94"/>
      <c r="T32" s="94"/>
      <c r="U32" s="95"/>
      <c r="V32" s="96"/>
      <c r="W32" s="136"/>
      <c r="X32" s="137"/>
    </row>
    <row r="33" spans="14:24" ht="15">
      <c r="N33" s="141"/>
      <c r="O33" s="108"/>
      <c r="P33" s="94"/>
      <c r="Q33" s="94"/>
      <c r="R33" s="94"/>
      <c r="S33" s="94"/>
      <c r="T33" s="94"/>
      <c r="U33" s="95"/>
      <c r="V33" s="96"/>
      <c r="W33" s="136"/>
      <c r="X33" s="137"/>
    </row>
    <row r="34" spans="14:24" ht="15">
      <c r="N34" s="141"/>
      <c r="O34" s="108"/>
      <c r="P34" s="94"/>
      <c r="Q34" s="94"/>
      <c r="R34" s="94"/>
      <c r="S34" s="94"/>
      <c r="T34" s="94"/>
      <c r="U34" s="95"/>
      <c r="V34" s="96"/>
      <c r="W34" s="136"/>
      <c r="X34" s="137"/>
    </row>
    <row r="35" spans="1:24" ht="15.75" thickBot="1">
      <c r="A35" s="28" t="s">
        <v>7</v>
      </c>
      <c r="B35" s="6" t="s">
        <v>17</v>
      </c>
      <c r="C35" s="10"/>
      <c r="D35" s="10"/>
      <c r="E35" s="10"/>
      <c r="N35" s="144"/>
      <c r="O35" s="125"/>
      <c r="P35" s="97"/>
      <c r="Q35" s="97"/>
      <c r="R35" s="97"/>
      <c r="S35" s="97"/>
      <c r="T35" s="97"/>
      <c r="U35" s="116"/>
      <c r="V35" s="117"/>
      <c r="W35" s="138"/>
      <c r="X35" s="139"/>
    </row>
    <row r="36" spans="1:11" ht="15.75" thickBot="1">
      <c r="A36" s="8" t="s">
        <v>24</v>
      </c>
      <c r="B36" s="9">
        <v>18</v>
      </c>
      <c r="C36" s="10"/>
      <c r="D36" s="10"/>
      <c r="E36" s="10"/>
      <c r="K36" s="21"/>
    </row>
    <row r="37" spans="1:24" ht="15">
      <c r="A37" s="10"/>
      <c r="B37" s="6" t="s">
        <v>17</v>
      </c>
      <c r="C37" s="6" t="s">
        <v>190</v>
      </c>
      <c r="D37" s="6" t="s">
        <v>191</v>
      </c>
      <c r="E37" s="6" t="s">
        <v>34</v>
      </c>
      <c r="K37" s="22"/>
      <c r="N37" s="131">
        <f>'Summary Sheet'!D34</f>
        <v>3</v>
      </c>
      <c r="O37" s="128"/>
      <c r="P37" s="145">
        <f>SUMIF($O$3:$O$35,$N37,P$3:P$35)</f>
        <v>0</v>
      </c>
      <c r="Q37" s="145">
        <f>SUMIF($O$3:$O$35,$N37,Q$3:Q$35)</f>
        <v>0</v>
      </c>
      <c r="R37" s="145">
        <f aca="true" t="shared" si="0" ref="R37:V44">SUMIF($O$3:$O$35,$N37,R$3:R$35)</f>
        <v>0</v>
      </c>
      <c r="S37" s="145">
        <f t="shared" si="0"/>
        <v>0</v>
      </c>
      <c r="T37" s="145">
        <f t="shared" si="0"/>
        <v>0</v>
      </c>
      <c r="U37" s="145">
        <f t="shared" si="0"/>
        <v>0</v>
      </c>
      <c r="V37" s="146">
        <f t="shared" si="0"/>
        <v>0</v>
      </c>
      <c r="W37" s="147">
        <f>_xlfn.IFERROR(V37/P37,"")</f>
      </c>
      <c r="X37" s="148">
        <f>_xlfn.IFERROR(V37/U37,"")</f>
      </c>
    </row>
    <row r="38" spans="1:24" ht="15">
      <c r="A38" s="6" t="s">
        <v>8</v>
      </c>
      <c r="B38" s="9">
        <v>108</v>
      </c>
      <c r="C38" s="9"/>
      <c r="D38" s="9"/>
      <c r="E38" s="9"/>
      <c r="N38" s="132">
        <f>'Summary Sheet'!D35</f>
        <v>4</v>
      </c>
      <c r="O38" s="129"/>
      <c r="P38" s="96">
        <f>SUMIF($O$3:O36,N38,$P$3:$P$35)</f>
        <v>0</v>
      </c>
      <c r="Q38" s="96">
        <f aca="true" t="shared" si="1" ref="Q38:Q44">SUMIF($O$3:$O$35,$N38,Q$3:Q$35)</f>
        <v>0</v>
      </c>
      <c r="R38" s="96">
        <f t="shared" si="0"/>
        <v>0</v>
      </c>
      <c r="S38" s="96">
        <f t="shared" si="0"/>
        <v>0</v>
      </c>
      <c r="T38" s="96">
        <f t="shared" si="0"/>
        <v>0</v>
      </c>
      <c r="U38" s="96">
        <f t="shared" si="0"/>
        <v>0</v>
      </c>
      <c r="V38" s="149">
        <f t="shared" si="0"/>
        <v>0</v>
      </c>
      <c r="W38" s="150">
        <f aca="true" t="shared" si="2" ref="W38:W44">_xlfn.IFERROR(V38/P38,"")</f>
      </c>
      <c r="X38" s="137">
        <f aca="true" t="shared" si="3" ref="X38:X44">_xlfn.IFERROR(V38/U38,"")</f>
      </c>
    </row>
    <row r="39" spans="1:24" ht="15">
      <c r="A39" s="6" t="s">
        <v>9</v>
      </c>
      <c r="B39" s="9">
        <v>90</v>
      </c>
      <c r="C39" s="9">
        <v>13.8</v>
      </c>
      <c r="D39" s="9"/>
      <c r="E39" s="9"/>
      <c r="N39" s="132">
        <f>'Summary Sheet'!D36</f>
        <v>5</v>
      </c>
      <c r="O39" s="129"/>
      <c r="P39" s="96">
        <f>SUMIF($O$3:O37,N39,$P$3:$P$35)</f>
        <v>200</v>
      </c>
      <c r="Q39" s="96">
        <f t="shared" si="1"/>
        <v>40</v>
      </c>
      <c r="R39" s="96">
        <f t="shared" si="0"/>
        <v>40</v>
      </c>
      <c r="S39" s="96">
        <f t="shared" si="0"/>
        <v>28.5</v>
      </c>
      <c r="T39" s="96">
        <f t="shared" si="0"/>
        <v>0</v>
      </c>
      <c r="U39" s="96">
        <f t="shared" si="0"/>
        <v>200</v>
      </c>
      <c r="V39" s="149">
        <f t="shared" si="0"/>
        <v>1140</v>
      </c>
      <c r="W39" s="150">
        <f t="shared" si="2"/>
        <v>5.7</v>
      </c>
      <c r="X39" s="137">
        <f t="shared" si="3"/>
        <v>5.7</v>
      </c>
    </row>
    <row r="40" spans="1:24" ht="15">
      <c r="A40" s="6" t="s">
        <v>10</v>
      </c>
      <c r="B40" s="9">
        <v>18</v>
      </c>
      <c r="C40" s="9">
        <v>20.8</v>
      </c>
      <c r="D40" s="9"/>
      <c r="E40" s="9" t="s">
        <v>35</v>
      </c>
      <c r="N40" s="132">
        <f>'Summary Sheet'!D37</f>
        <v>6</v>
      </c>
      <c r="O40" s="129"/>
      <c r="P40" s="96">
        <f>SUMIF($O$3:O38,N40,$P$3:$P$35)</f>
        <v>204</v>
      </c>
      <c r="Q40" s="96">
        <f t="shared" si="1"/>
        <v>34</v>
      </c>
      <c r="R40" s="96">
        <f t="shared" si="0"/>
        <v>34</v>
      </c>
      <c r="S40" s="96">
        <f t="shared" si="0"/>
        <v>53.2</v>
      </c>
      <c r="T40" s="96">
        <f t="shared" si="0"/>
        <v>18</v>
      </c>
      <c r="U40" s="96">
        <f t="shared" si="0"/>
        <v>186</v>
      </c>
      <c r="V40" s="149">
        <f t="shared" si="0"/>
        <v>905</v>
      </c>
      <c r="W40" s="150">
        <f t="shared" si="2"/>
        <v>4.436274509803922</v>
      </c>
      <c r="X40" s="137">
        <f t="shared" si="3"/>
        <v>4.865591397849462</v>
      </c>
    </row>
    <row r="41" spans="1:24" ht="15">
      <c r="A41" s="6" t="s">
        <v>11</v>
      </c>
      <c r="B41" s="9"/>
      <c r="C41" s="9"/>
      <c r="D41" s="9"/>
      <c r="E41" s="9"/>
      <c r="N41" s="132">
        <f>'Summary Sheet'!D38</f>
        <v>7</v>
      </c>
      <c r="O41" s="129"/>
      <c r="P41" s="96">
        <f>SUMIF($O$3:O39,N41,$P$3:$P$35)</f>
        <v>0</v>
      </c>
      <c r="Q41" s="96">
        <f t="shared" si="1"/>
        <v>0</v>
      </c>
      <c r="R41" s="96">
        <f t="shared" si="0"/>
        <v>0</v>
      </c>
      <c r="S41" s="96">
        <f t="shared" si="0"/>
        <v>0</v>
      </c>
      <c r="T41" s="96">
        <f t="shared" si="0"/>
        <v>0</v>
      </c>
      <c r="U41" s="96">
        <f t="shared" si="0"/>
        <v>0</v>
      </c>
      <c r="V41" s="149">
        <f t="shared" si="0"/>
        <v>0</v>
      </c>
      <c r="W41" s="150">
        <f t="shared" si="2"/>
      </c>
      <c r="X41" s="137">
        <f t="shared" si="3"/>
      </c>
    </row>
    <row r="42" spans="1:24" ht="15">
      <c r="A42" s="6" t="s">
        <v>12</v>
      </c>
      <c r="B42" s="9"/>
      <c r="C42" s="9"/>
      <c r="D42" s="9"/>
      <c r="E42" s="9"/>
      <c r="N42" s="132">
        <f>'Summary Sheet'!D39</f>
        <v>8</v>
      </c>
      <c r="O42" s="129"/>
      <c r="P42" s="96">
        <f>SUMIF($O$3:O40,N42,$P$3:$P$35)</f>
        <v>0</v>
      </c>
      <c r="Q42" s="96">
        <f t="shared" si="1"/>
        <v>0</v>
      </c>
      <c r="R42" s="96">
        <f t="shared" si="0"/>
        <v>0</v>
      </c>
      <c r="S42" s="96">
        <f t="shared" si="0"/>
        <v>0</v>
      </c>
      <c r="T42" s="96">
        <f t="shared" si="0"/>
        <v>0</v>
      </c>
      <c r="U42" s="96">
        <f t="shared" si="0"/>
        <v>0</v>
      </c>
      <c r="V42" s="149">
        <f t="shared" si="0"/>
        <v>0</v>
      </c>
      <c r="W42" s="150">
        <f t="shared" si="2"/>
      </c>
      <c r="X42" s="137">
        <f t="shared" si="3"/>
      </c>
    </row>
    <row r="43" spans="1:24" ht="15">
      <c r="A43" s="6" t="s">
        <v>13</v>
      </c>
      <c r="B43" s="9"/>
      <c r="C43" s="9"/>
      <c r="D43" s="9"/>
      <c r="E43" s="9"/>
      <c r="N43" s="132">
        <f>'Summary Sheet'!D40</f>
        <v>9</v>
      </c>
      <c r="O43" s="129"/>
      <c r="P43" s="96">
        <f>SUMIF($O$3:O41,N43,$P$3:$P$35)</f>
        <v>0</v>
      </c>
      <c r="Q43" s="96">
        <f t="shared" si="1"/>
        <v>0</v>
      </c>
      <c r="R43" s="96">
        <f t="shared" si="0"/>
        <v>0</v>
      </c>
      <c r="S43" s="96">
        <f t="shared" si="0"/>
        <v>0</v>
      </c>
      <c r="T43" s="96">
        <f t="shared" si="0"/>
        <v>0</v>
      </c>
      <c r="U43" s="96">
        <f t="shared" si="0"/>
        <v>0</v>
      </c>
      <c r="V43" s="149">
        <f t="shared" si="0"/>
        <v>0</v>
      </c>
      <c r="W43" s="150">
        <f t="shared" si="2"/>
      </c>
      <c r="X43" s="137">
        <f t="shared" si="3"/>
      </c>
    </row>
    <row r="44" spans="1:24" ht="15.75" thickBot="1">
      <c r="A44" s="6" t="s">
        <v>14</v>
      </c>
      <c r="B44" s="9"/>
      <c r="C44" s="9"/>
      <c r="D44" s="9"/>
      <c r="E44" s="9"/>
      <c r="N44" s="133">
        <f>'Summary Sheet'!D41</f>
        <v>10</v>
      </c>
      <c r="O44" s="130"/>
      <c r="P44" s="117">
        <f>SUMIF($O$3:O42,N44,$P$3:$P$35)</f>
        <v>0</v>
      </c>
      <c r="Q44" s="117">
        <f t="shared" si="1"/>
        <v>0</v>
      </c>
      <c r="R44" s="117">
        <f t="shared" si="0"/>
        <v>0</v>
      </c>
      <c r="S44" s="117">
        <f t="shared" si="0"/>
        <v>0</v>
      </c>
      <c r="T44" s="117">
        <f t="shared" si="0"/>
        <v>0</v>
      </c>
      <c r="U44" s="117">
        <f t="shared" si="0"/>
        <v>0</v>
      </c>
      <c r="V44" s="151">
        <f t="shared" si="0"/>
        <v>0</v>
      </c>
      <c r="W44" s="152">
        <f t="shared" si="2"/>
      </c>
      <c r="X44" s="139">
        <f t="shared" si="3"/>
      </c>
    </row>
    <row r="45" spans="1:5" ht="15">
      <c r="A45" s="10"/>
      <c r="B45" s="6" t="s">
        <v>17</v>
      </c>
      <c r="C45" s="6" t="s">
        <v>18</v>
      </c>
      <c r="D45" s="10"/>
      <c r="E45" s="10"/>
    </row>
    <row r="46" spans="1:5" ht="15">
      <c r="A46" s="6" t="s">
        <v>16</v>
      </c>
      <c r="B46" s="9">
        <v>18</v>
      </c>
      <c r="C46" s="9">
        <v>26.9</v>
      </c>
      <c r="D46" s="10"/>
      <c r="E46" s="10"/>
    </row>
    <row r="47" spans="1:5" ht="15">
      <c r="A47" s="6" t="s">
        <v>15</v>
      </c>
      <c r="B47" s="9"/>
      <c r="C47" s="9"/>
      <c r="D47" s="10"/>
      <c r="E47" s="10"/>
    </row>
  </sheetData>
  <sheetProtection/>
  <printOptions/>
  <pageMargins left="0.7" right="0.7" top="0.75" bottom="0.75" header="0.3" footer="0.3"/>
  <pageSetup horizontalDpi="600" verticalDpi="600" orientation="landscape" paperSize="9" scale="75" r:id="rId1"/>
  <rowBreaks count="1" manualBreakCount="1">
    <brk id="33" max="255" man="1"/>
  </rowBreaks>
  <colBreaks count="2" manualBreakCount="2">
    <brk id="9" max="65535" man="1"/>
    <brk id="13" max="65535" man="1"/>
  </colBreaks>
</worksheet>
</file>

<file path=xl/worksheets/sheet12.xml><?xml version="1.0" encoding="utf-8"?>
<worksheet xmlns="http://schemas.openxmlformats.org/spreadsheetml/2006/main" xmlns:r="http://schemas.openxmlformats.org/officeDocument/2006/relationships">
  <sheetPr>
    <tabColor theme="9"/>
  </sheetPr>
  <dimension ref="A1:X47"/>
  <sheetViews>
    <sheetView view="pageBreakPreview" zoomScale="60" zoomScaleNormal="70" zoomScalePageLayoutView="0" workbookViewId="0" topLeftCell="D1">
      <selection activeCell="X2" sqref="O2:X2"/>
    </sheetView>
  </sheetViews>
  <sheetFormatPr defaultColWidth="9.140625" defaultRowHeight="15"/>
  <cols>
    <col min="1" max="1" width="30.00390625" style="0" customWidth="1"/>
    <col min="3" max="3" width="19.140625" style="0" bestFit="1" customWidth="1"/>
    <col min="4" max="4" width="24.421875" style="0" bestFit="1" customWidth="1"/>
    <col min="5" max="5" width="17.140625" style="0" customWidth="1"/>
    <col min="6" max="6" width="6.7109375" style="0" customWidth="1"/>
    <col min="7" max="7" width="16.00390625" style="0" customWidth="1"/>
    <col min="8" max="8" width="13.7109375" style="0" customWidth="1"/>
    <col min="9" max="9" width="13.140625" style="0" customWidth="1"/>
    <col min="10" max="10" width="3.8515625" style="0" customWidth="1"/>
    <col min="11" max="11" width="80.00390625" style="0" customWidth="1"/>
    <col min="12" max="12" width="11.140625" style="0" bestFit="1" customWidth="1"/>
    <col min="14" max="14" width="14.00390625" style="0" customWidth="1"/>
    <col min="15" max="24" width="15.7109375" style="0" customWidth="1"/>
  </cols>
  <sheetData>
    <row r="1" spans="1:2" ht="15.75" thickBot="1">
      <c r="A1" s="6" t="s">
        <v>19</v>
      </c>
      <c r="B1" s="10"/>
    </row>
    <row r="2" spans="1:24" ht="75">
      <c r="A2" s="7" t="s">
        <v>134</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55</v>
      </c>
      <c r="N3" s="140" t="s">
        <v>168</v>
      </c>
      <c r="O3" s="107">
        <f>P3/Q3</f>
        <v>4.688311688311688</v>
      </c>
      <c r="P3" s="98">
        <f>B8</f>
        <v>361</v>
      </c>
      <c r="Q3" s="98">
        <f>B6</f>
        <v>77</v>
      </c>
      <c r="R3" s="98">
        <f>B16</f>
        <v>77</v>
      </c>
      <c r="S3" s="98">
        <f>C16</f>
        <v>22</v>
      </c>
      <c r="T3" s="98">
        <v>0</v>
      </c>
      <c r="U3" s="99">
        <f>P3-T3</f>
        <v>361</v>
      </c>
      <c r="V3" s="100">
        <f>R3*S3</f>
        <v>1694</v>
      </c>
      <c r="W3" s="134">
        <f>V3/P3</f>
        <v>4.692520775623269</v>
      </c>
      <c r="X3" s="135">
        <f>V3/U3</f>
        <v>4.692520775623269</v>
      </c>
    </row>
    <row r="4" spans="14:24" ht="15">
      <c r="N4" s="141"/>
      <c r="O4" s="108">
        <f>P4/Q4</f>
        <v>5</v>
      </c>
      <c r="P4" s="94">
        <f>B23</f>
        <v>125</v>
      </c>
      <c r="Q4" s="94">
        <f>B21</f>
        <v>25</v>
      </c>
      <c r="R4" s="94">
        <f>B31</f>
        <v>25</v>
      </c>
      <c r="S4" s="94">
        <f>C31</f>
        <v>24</v>
      </c>
      <c r="T4" s="94">
        <f>B25</f>
        <v>25</v>
      </c>
      <c r="U4" s="95">
        <f>P4-T4</f>
        <v>100</v>
      </c>
      <c r="V4" s="96">
        <f>R4*S4</f>
        <v>600</v>
      </c>
      <c r="W4" s="136">
        <f>V4/P4</f>
        <v>4.8</v>
      </c>
      <c r="X4" s="137">
        <f>V4/U4</f>
        <v>6</v>
      </c>
    </row>
    <row r="5" spans="1:24" ht="15">
      <c r="A5" s="28" t="s">
        <v>7</v>
      </c>
      <c r="B5" s="6" t="s">
        <v>17</v>
      </c>
      <c r="C5" s="10"/>
      <c r="D5" s="10"/>
      <c r="E5" s="10"/>
      <c r="G5" s="6" t="s">
        <v>21</v>
      </c>
      <c r="H5" s="6" t="s">
        <v>17</v>
      </c>
      <c r="I5" s="6" t="s">
        <v>18</v>
      </c>
      <c r="K5" s="20" t="str">
        <f>'Summary Sheet'!C6</f>
        <v>General Communal Area</v>
      </c>
      <c r="L5" s="182">
        <f>B3</f>
        <v>55</v>
      </c>
      <c r="N5" s="141"/>
      <c r="O5" s="108">
        <f>P5/Q5</f>
        <v>4</v>
      </c>
      <c r="P5" s="94">
        <f>B38</f>
        <v>64</v>
      </c>
      <c r="Q5" s="94">
        <f>B36</f>
        <v>16</v>
      </c>
      <c r="R5" s="94">
        <f>B46</f>
        <v>16</v>
      </c>
      <c r="S5" s="94">
        <f>C46</f>
        <v>22</v>
      </c>
      <c r="T5" s="94">
        <v>0</v>
      </c>
      <c r="U5" s="95">
        <f>P5-T5</f>
        <v>64</v>
      </c>
      <c r="V5" s="96">
        <f>R5*S5</f>
        <v>352</v>
      </c>
      <c r="W5" s="136">
        <f>V5/P5</f>
        <v>5.5</v>
      </c>
      <c r="X5" s="137">
        <f>V5/U5</f>
        <v>5.5</v>
      </c>
    </row>
    <row r="6" spans="1:24" ht="15">
      <c r="A6" s="8" t="s">
        <v>152</v>
      </c>
      <c r="B6" s="9">
        <v>77</v>
      </c>
      <c r="C6" s="10"/>
      <c r="D6" s="10"/>
      <c r="E6" s="10"/>
      <c r="G6" s="6" t="s">
        <v>154</v>
      </c>
      <c r="H6" s="11">
        <v>1</v>
      </c>
      <c r="I6" s="11">
        <v>33</v>
      </c>
      <c r="K6" s="20" t="str">
        <f>'Summary Sheet'!C7</f>
        <v>Kitchen / Dining / Living Area (Shared Internal Area)</v>
      </c>
      <c r="L6" s="182">
        <f>(B16*C16)+(B31*C31)+(B46*C46)</f>
        <v>2646</v>
      </c>
      <c r="N6" s="141"/>
      <c r="O6" s="108"/>
      <c r="P6" s="94"/>
      <c r="Q6" s="94"/>
      <c r="R6" s="94"/>
      <c r="S6" s="94"/>
      <c r="T6" s="94"/>
      <c r="U6" s="95"/>
      <c r="V6" s="96"/>
      <c r="W6" s="136"/>
      <c r="X6" s="137"/>
    </row>
    <row r="7" spans="1:24" ht="15">
      <c r="A7" s="10"/>
      <c r="B7" s="6" t="s">
        <v>17</v>
      </c>
      <c r="C7" s="6" t="s">
        <v>190</v>
      </c>
      <c r="D7" s="6" t="s">
        <v>191</v>
      </c>
      <c r="E7" s="6" t="s">
        <v>34</v>
      </c>
      <c r="G7" s="6" t="s">
        <v>23</v>
      </c>
      <c r="H7" s="11">
        <v>1</v>
      </c>
      <c r="I7" s="11">
        <v>26</v>
      </c>
      <c r="K7" s="20" t="str">
        <f>'Summary Sheet'!C8</f>
        <v>Total Communal Area</v>
      </c>
      <c r="L7" s="185">
        <f>SUM(L5:L6)</f>
        <v>2701</v>
      </c>
      <c r="N7" s="141"/>
      <c r="O7" s="108"/>
      <c r="P7" s="94"/>
      <c r="Q7" s="94"/>
      <c r="R7" s="94"/>
      <c r="S7" s="94"/>
      <c r="T7" s="94"/>
      <c r="U7" s="95"/>
      <c r="V7" s="96"/>
      <c r="W7" s="136"/>
      <c r="X7" s="137"/>
    </row>
    <row r="8" spans="1:24" ht="15">
      <c r="A8" s="6" t="s">
        <v>8</v>
      </c>
      <c r="B8" s="9">
        <v>361</v>
      </c>
      <c r="C8" s="9"/>
      <c r="D8" s="9"/>
      <c r="E8" s="9"/>
      <c r="G8" s="6" t="s">
        <v>24</v>
      </c>
      <c r="H8" s="11">
        <v>3</v>
      </c>
      <c r="I8" s="11">
        <v>24</v>
      </c>
      <c r="K8" s="20"/>
      <c r="L8" s="182"/>
      <c r="N8" s="141"/>
      <c r="O8" s="108"/>
      <c r="P8" s="94"/>
      <c r="Q8" s="94"/>
      <c r="R8" s="94"/>
      <c r="S8" s="94"/>
      <c r="T8" s="94"/>
      <c r="U8" s="95"/>
      <c r="V8" s="96"/>
      <c r="W8" s="136"/>
      <c r="X8" s="137"/>
    </row>
    <row r="9" spans="1:24" ht="15">
      <c r="A9" s="6" t="s">
        <v>9</v>
      </c>
      <c r="B9" s="9">
        <v>361</v>
      </c>
      <c r="C9" s="9">
        <v>13</v>
      </c>
      <c r="D9" s="9"/>
      <c r="E9" s="9"/>
      <c r="G9" s="6" t="s">
        <v>25</v>
      </c>
      <c r="H9" s="11"/>
      <c r="I9" s="11"/>
      <c r="K9" s="20"/>
      <c r="L9" s="182"/>
      <c r="N9" s="141"/>
      <c r="O9" s="108"/>
      <c r="P9" s="94"/>
      <c r="Q9" s="94"/>
      <c r="R9" s="94"/>
      <c r="S9" s="94"/>
      <c r="T9" s="94"/>
      <c r="U9" s="95"/>
      <c r="V9" s="96"/>
      <c r="W9" s="136"/>
      <c r="X9" s="137"/>
    </row>
    <row r="10" spans="1:24" ht="15">
      <c r="A10" s="6" t="s">
        <v>10</v>
      </c>
      <c r="B10" s="9"/>
      <c r="C10" s="9"/>
      <c r="D10" s="9"/>
      <c r="E10" s="9"/>
      <c r="G10" s="6" t="s">
        <v>26</v>
      </c>
      <c r="H10" s="11"/>
      <c r="I10" s="11"/>
      <c r="K10" s="20" t="str">
        <f>'Summary Sheet'!C10</f>
        <v>Number of Bedrooms (cluster &amp; studio) (non Accessible)</v>
      </c>
      <c r="L10" s="6">
        <f>B9+B24+B39+B40+H6+H7+H8</f>
        <v>530</v>
      </c>
      <c r="N10" s="141"/>
      <c r="O10" s="108"/>
      <c r="P10" s="94"/>
      <c r="Q10" s="94"/>
      <c r="R10" s="94"/>
      <c r="S10" s="94"/>
      <c r="T10" s="94"/>
      <c r="U10" s="95"/>
      <c r="V10" s="96"/>
      <c r="W10" s="136"/>
      <c r="X10" s="137"/>
    </row>
    <row r="11" spans="1:24" ht="15">
      <c r="A11" s="6" t="s">
        <v>11</v>
      </c>
      <c r="B11" s="9"/>
      <c r="C11" s="9"/>
      <c r="D11" s="9"/>
      <c r="E11" s="9"/>
      <c r="G11" s="6" t="s">
        <v>27</v>
      </c>
      <c r="H11" s="11"/>
      <c r="I11" s="11"/>
      <c r="K11" s="20" t="str">
        <f>'Summary Sheet'!C11</f>
        <v>Total Area of Bedrooms (cluster &amp; studio) (non Accessible)</v>
      </c>
      <c r="L11" s="182">
        <f>(B9*C9)+(B24*C24)+(B39*C39)+(B40*C40)+(H6*I6)+(H7*I7)+(H8*I8)</f>
        <v>7020</v>
      </c>
      <c r="N11" s="141"/>
      <c r="O11" s="108"/>
      <c r="P11" s="94"/>
      <c r="Q11" s="94"/>
      <c r="R11" s="94"/>
      <c r="S11" s="94"/>
      <c r="T11" s="94"/>
      <c r="U11" s="96"/>
      <c r="V11" s="96"/>
      <c r="W11" s="136"/>
      <c r="X11" s="137"/>
    </row>
    <row r="12" spans="1:24" ht="15">
      <c r="A12" s="6" t="s">
        <v>12</v>
      </c>
      <c r="B12" s="9"/>
      <c r="C12" s="9"/>
      <c r="D12" s="9"/>
      <c r="E12" s="9"/>
      <c r="G12" s="6" t="s">
        <v>28</v>
      </c>
      <c r="H12" s="11"/>
      <c r="I12" s="11"/>
      <c r="K12" s="20" t="str">
        <f>'Summary Sheet'!C12</f>
        <v>Average size of Bedroom (cluster &amp; studio) (non Accessible)</v>
      </c>
      <c r="L12" s="185">
        <f>L11/L10</f>
        <v>13.245283018867925</v>
      </c>
      <c r="N12" s="141"/>
      <c r="O12" s="108"/>
      <c r="P12" s="94"/>
      <c r="Q12" s="94"/>
      <c r="R12" s="94"/>
      <c r="S12" s="94"/>
      <c r="T12" s="94"/>
      <c r="U12" s="95"/>
      <c r="V12" s="96"/>
      <c r="W12" s="136"/>
      <c r="X12" s="137"/>
    </row>
    <row r="13" spans="1:24" ht="15">
      <c r="A13" s="6" t="s">
        <v>13</v>
      </c>
      <c r="B13" s="9"/>
      <c r="C13" s="9"/>
      <c r="D13" s="9"/>
      <c r="E13" s="9"/>
      <c r="G13" s="6" t="s">
        <v>29</v>
      </c>
      <c r="H13" s="11"/>
      <c r="I13" s="11"/>
      <c r="K13" s="20"/>
      <c r="L13" s="185"/>
      <c r="N13" s="141"/>
      <c r="O13" s="108"/>
      <c r="P13" s="94"/>
      <c r="Q13" s="94"/>
      <c r="R13" s="94"/>
      <c r="S13" s="94"/>
      <c r="T13" s="94"/>
      <c r="U13" s="95"/>
      <c r="V13" s="96"/>
      <c r="W13" s="136"/>
      <c r="X13" s="137"/>
    </row>
    <row r="14" spans="1:24" ht="15">
      <c r="A14" s="6" t="s">
        <v>14</v>
      </c>
      <c r="B14" s="9"/>
      <c r="C14" s="9"/>
      <c r="D14" s="9"/>
      <c r="E14" s="9"/>
      <c r="G14" s="6" t="s">
        <v>30</v>
      </c>
      <c r="H14" s="11"/>
      <c r="I14" s="11"/>
      <c r="K14" s="20" t="str">
        <f>'Summary Sheet'!C14</f>
        <v>Number of Cluster Bedrooms (non Accessible)</v>
      </c>
      <c r="L14" s="186">
        <f>B9+B24+B39+B40</f>
        <v>525</v>
      </c>
      <c r="N14" s="141"/>
      <c r="O14" s="108"/>
      <c r="P14" s="94"/>
      <c r="Q14" s="94"/>
      <c r="R14" s="94"/>
      <c r="S14" s="94"/>
      <c r="T14" s="94"/>
      <c r="U14" s="95"/>
      <c r="V14" s="96"/>
      <c r="W14" s="136"/>
      <c r="X14" s="137"/>
    </row>
    <row r="15" spans="1:24" ht="15">
      <c r="A15" s="10"/>
      <c r="B15" s="6" t="s">
        <v>17</v>
      </c>
      <c r="C15" s="6" t="s">
        <v>18</v>
      </c>
      <c r="D15" s="10"/>
      <c r="E15" s="10"/>
      <c r="G15" s="6" t="s">
        <v>31</v>
      </c>
      <c r="H15" s="11"/>
      <c r="I15" s="11"/>
      <c r="K15" s="20" t="str">
        <f>'Summary Sheet'!C15</f>
        <v>Total Area of Cluster Bedrooms (non Accessible)</v>
      </c>
      <c r="L15" s="6">
        <f>(B9*C9)+(B24*C24)+(B39*C39)+(B40*C40)</f>
        <v>6889</v>
      </c>
      <c r="N15" s="141"/>
      <c r="O15" s="108"/>
      <c r="P15" s="94"/>
      <c r="Q15" s="94"/>
      <c r="R15" s="94"/>
      <c r="S15" s="94"/>
      <c r="T15" s="94"/>
      <c r="U15" s="95"/>
      <c r="V15" s="96"/>
      <c r="W15" s="136"/>
      <c r="X15" s="137"/>
    </row>
    <row r="16" spans="1:24" ht="15">
      <c r="A16" s="6" t="s">
        <v>16</v>
      </c>
      <c r="B16" s="9">
        <v>77</v>
      </c>
      <c r="C16" s="9">
        <v>22</v>
      </c>
      <c r="D16" s="10"/>
      <c r="E16" s="10"/>
      <c r="G16" s="6" t="s">
        <v>32</v>
      </c>
      <c r="H16" s="11"/>
      <c r="I16" s="11"/>
      <c r="K16" s="20" t="str">
        <f>'Summary Sheet'!C16</f>
        <v>Average Size of Cluster Bedroom (non Accessible)</v>
      </c>
      <c r="L16" s="187">
        <f>L15/L14</f>
        <v>13.121904761904762</v>
      </c>
      <c r="N16" s="141"/>
      <c r="O16" s="108"/>
      <c r="P16" s="94"/>
      <c r="Q16" s="94"/>
      <c r="R16" s="94"/>
      <c r="S16" s="94"/>
      <c r="T16" s="94"/>
      <c r="U16" s="95"/>
      <c r="V16" s="96"/>
      <c r="W16" s="136"/>
      <c r="X16" s="137"/>
    </row>
    <row r="17" spans="1:24" ht="15">
      <c r="A17" s="6" t="s">
        <v>15</v>
      </c>
      <c r="B17" s="9"/>
      <c r="C17" s="9"/>
      <c r="D17" s="10"/>
      <c r="E17" s="10"/>
      <c r="G17" s="6" t="s">
        <v>33</v>
      </c>
      <c r="H17" s="11"/>
      <c r="I17" s="11"/>
      <c r="K17" s="20"/>
      <c r="L17" s="188"/>
      <c r="N17" s="141"/>
      <c r="O17" s="108"/>
      <c r="P17" s="94"/>
      <c r="Q17" s="94"/>
      <c r="R17" s="94"/>
      <c r="S17" s="94"/>
      <c r="T17" s="94"/>
      <c r="U17" s="95"/>
      <c r="V17" s="96"/>
      <c r="W17" s="136"/>
      <c r="X17" s="137"/>
    </row>
    <row r="18" spans="11:24" ht="15">
      <c r="K18" s="20" t="str">
        <f>'Summary Sheet'!C18</f>
        <v>Number of Studio Bedspaces (non Accessible)</v>
      </c>
      <c r="L18" s="186">
        <f>H7+H8</f>
        <v>4</v>
      </c>
      <c r="N18" s="141"/>
      <c r="O18" s="108"/>
      <c r="P18" s="94"/>
      <c r="Q18" s="94"/>
      <c r="R18" s="94"/>
      <c r="S18" s="94"/>
      <c r="T18" s="94"/>
      <c r="U18" s="95"/>
      <c r="V18" s="96"/>
      <c r="W18" s="136"/>
      <c r="X18" s="137"/>
    </row>
    <row r="19" spans="11:24" ht="15">
      <c r="K19" s="20" t="str">
        <f>'Summary Sheet'!C19</f>
        <v>Total Area of Studio Bedspace (non Accessible)</v>
      </c>
      <c r="L19" s="186">
        <f>(H7*I7)+(H8*I8)</f>
        <v>98</v>
      </c>
      <c r="N19" s="141"/>
      <c r="O19" s="108"/>
      <c r="P19" s="94"/>
      <c r="Q19" s="94"/>
      <c r="R19" s="94"/>
      <c r="S19" s="94"/>
      <c r="T19" s="94"/>
      <c r="U19" s="95"/>
      <c r="V19" s="96"/>
      <c r="W19" s="136"/>
      <c r="X19" s="137"/>
    </row>
    <row r="20" spans="1:24" ht="15">
      <c r="A20" s="28" t="s">
        <v>7</v>
      </c>
      <c r="B20" s="6" t="s">
        <v>17</v>
      </c>
      <c r="C20" s="10"/>
      <c r="D20" s="10"/>
      <c r="E20" s="10"/>
      <c r="K20" s="20" t="str">
        <f>'Summary Sheet'!C20</f>
        <v>Average Size of Studio Bedspaces (non Accessible)</v>
      </c>
      <c r="L20" s="189">
        <f>L19/L18</f>
        <v>24.5</v>
      </c>
      <c r="N20" s="141"/>
      <c r="O20" s="108"/>
      <c r="P20" s="94"/>
      <c r="Q20" s="94"/>
      <c r="R20" s="94"/>
      <c r="S20" s="94"/>
      <c r="T20" s="94"/>
      <c r="U20" s="95"/>
      <c r="V20" s="96"/>
      <c r="W20" s="136"/>
      <c r="X20" s="137"/>
    </row>
    <row r="21" spans="1:24" ht="15">
      <c r="A21" s="8" t="s">
        <v>153</v>
      </c>
      <c r="B21" s="9">
        <v>25</v>
      </c>
      <c r="C21" s="10"/>
      <c r="D21" s="10"/>
      <c r="E21" s="10"/>
      <c r="K21" s="20"/>
      <c r="L21" s="182"/>
      <c r="N21" s="141"/>
      <c r="O21" s="108"/>
      <c r="P21" s="94"/>
      <c r="Q21" s="94"/>
      <c r="R21" s="94"/>
      <c r="S21" s="94"/>
      <c r="T21" s="94"/>
      <c r="U21" s="95"/>
      <c r="V21" s="96"/>
      <c r="W21" s="136"/>
      <c r="X21" s="137"/>
    </row>
    <row r="22" spans="1:24" ht="15">
      <c r="A22" s="10"/>
      <c r="B22" s="6" t="s">
        <v>17</v>
      </c>
      <c r="C22" s="6" t="s">
        <v>190</v>
      </c>
      <c r="D22" s="6" t="s">
        <v>191</v>
      </c>
      <c r="E22" s="6" t="s">
        <v>34</v>
      </c>
      <c r="K22" s="6" t="str">
        <f>'Summary Sheet'!C24</f>
        <v>Total Number of Bedrooms Inc Accessible</v>
      </c>
      <c r="L22" s="6">
        <f>L10+B25</f>
        <v>555</v>
      </c>
      <c r="N22" s="141"/>
      <c r="O22" s="108"/>
      <c r="P22" s="94"/>
      <c r="Q22" s="94"/>
      <c r="R22" s="94"/>
      <c r="S22" s="94"/>
      <c r="T22" s="94"/>
      <c r="U22" s="95"/>
      <c r="V22" s="96"/>
      <c r="W22" s="136"/>
      <c r="X22" s="137"/>
    </row>
    <row r="23" spans="1:24" ht="15">
      <c r="A23" s="6" t="s">
        <v>8</v>
      </c>
      <c r="B23" s="9">
        <v>125</v>
      </c>
      <c r="C23" s="9"/>
      <c r="D23" s="9"/>
      <c r="E23" s="9"/>
      <c r="K23" s="6" t="str">
        <f>'Summary Sheet'!C26</f>
        <v>Number of Accessible Bedrooms</v>
      </c>
      <c r="L23" s="6">
        <f>L22-L10</f>
        <v>25</v>
      </c>
      <c r="N23" s="141"/>
      <c r="O23" s="108"/>
      <c r="P23" s="94"/>
      <c r="Q23" s="94"/>
      <c r="R23" s="94"/>
      <c r="S23" s="94"/>
      <c r="T23" s="94"/>
      <c r="U23" s="95"/>
      <c r="V23" s="96"/>
      <c r="W23" s="136"/>
      <c r="X23" s="137"/>
    </row>
    <row r="24" spans="1:24" ht="15">
      <c r="A24" s="6" t="s">
        <v>9</v>
      </c>
      <c r="B24" s="14">
        <v>100</v>
      </c>
      <c r="C24" s="9">
        <v>13</v>
      </c>
      <c r="D24" s="9"/>
      <c r="E24" s="9"/>
      <c r="K24" s="198" t="str">
        <f>'Summary Sheet'!C27</f>
        <v>Average Size of Accessible Bedroom</v>
      </c>
      <c r="L24" s="199">
        <f>(B25*C25)/L23</f>
        <v>20</v>
      </c>
      <c r="N24" s="141"/>
      <c r="O24" s="108"/>
      <c r="P24" s="94"/>
      <c r="Q24" s="94"/>
      <c r="R24" s="94"/>
      <c r="S24" s="94"/>
      <c r="T24" s="94"/>
      <c r="U24" s="95"/>
      <c r="V24" s="96"/>
      <c r="W24" s="136"/>
      <c r="X24" s="137"/>
    </row>
    <row r="25" spans="1:24" ht="15">
      <c r="A25" s="6" t="s">
        <v>10</v>
      </c>
      <c r="B25" s="9">
        <v>25</v>
      </c>
      <c r="C25" s="9">
        <v>20</v>
      </c>
      <c r="D25" s="9"/>
      <c r="E25" s="9" t="s">
        <v>136</v>
      </c>
      <c r="K25" s="201"/>
      <c r="L25" s="202"/>
      <c r="N25" s="141"/>
      <c r="O25" s="108"/>
      <c r="P25" s="94"/>
      <c r="Q25" s="94"/>
      <c r="R25" s="94"/>
      <c r="S25" s="94"/>
      <c r="T25" s="94"/>
      <c r="U25" s="95"/>
      <c r="V25" s="96"/>
      <c r="W25" s="136"/>
      <c r="X25" s="137"/>
    </row>
    <row r="26" spans="1:24" ht="15">
      <c r="A26" s="6" t="s">
        <v>11</v>
      </c>
      <c r="B26" s="9"/>
      <c r="C26" s="9"/>
      <c r="D26" s="9"/>
      <c r="E26" s="9"/>
      <c r="K26" s="12"/>
      <c r="L26" s="12"/>
      <c r="N26" s="141"/>
      <c r="O26" s="108"/>
      <c r="P26" s="94"/>
      <c r="Q26" s="94"/>
      <c r="R26" s="94"/>
      <c r="S26" s="94"/>
      <c r="T26" s="94"/>
      <c r="U26" s="95"/>
      <c r="V26" s="96"/>
      <c r="W26" s="136"/>
      <c r="X26" s="137"/>
    </row>
    <row r="27" spans="1:24" ht="15">
      <c r="A27" s="6" t="s">
        <v>12</v>
      </c>
      <c r="B27" s="9"/>
      <c r="C27" s="9"/>
      <c r="D27" s="9"/>
      <c r="E27" s="9"/>
      <c r="N27" s="141"/>
      <c r="O27" s="108"/>
      <c r="P27" s="94"/>
      <c r="Q27" s="94"/>
      <c r="R27" s="94"/>
      <c r="S27" s="94"/>
      <c r="T27" s="94"/>
      <c r="U27" s="95"/>
      <c r="V27" s="96"/>
      <c r="W27" s="136"/>
      <c r="X27" s="137"/>
    </row>
    <row r="28" spans="1:24" ht="15">
      <c r="A28" s="6" t="s">
        <v>13</v>
      </c>
      <c r="B28" s="9"/>
      <c r="C28" s="9"/>
      <c r="D28" s="9"/>
      <c r="E28" s="9"/>
      <c r="N28" s="141"/>
      <c r="O28" s="108"/>
      <c r="P28" s="94"/>
      <c r="Q28" s="94"/>
      <c r="R28" s="94"/>
      <c r="S28" s="94"/>
      <c r="T28" s="94"/>
      <c r="U28" s="95"/>
      <c r="V28" s="96"/>
      <c r="W28" s="136"/>
      <c r="X28" s="137"/>
    </row>
    <row r="29" spans="1:24" ht="15">
      <c r="A29" s="6" t="s">
        <v>14</v>
      </c>
      <c r="B29" s="9"/>
      <c r="C29" s="9"/>
      <c r="D29" s="9"/>
      <c r="E29" s="9"/>
      <c r="N29" s="141"/>
      <c r="O29" s="108"/>
      <c r="P29" s="94"/>
      <c r="Q29" s="94"/>
      <c r="R29" s="94"/>
      <c r="S29" s="94"/>
      <c r="T29" s="94"/>
      <c r="U29" s="95"/>
      <c r="V29" s="96"/>
      <c r="W29" s="136"/>
      <c r="X29" s="137"/>
    </row>
    <row r="30" spans="1:24" ht="15">
      <c r="A30" s="10"/>
      <c r="B30" s="6" t="s">
        <v>17</v>
      </c>
      <c r="C30" s="6" t="s">
        <v>18</v>
      </c>
      <c r="D30" s="10"/>
      <c r="E30" s="10"/>
      <c r="N30" s="141"/>
      <c r="O30" s="108"/>
      <c r="P30" s="94"/>
      <c r="Q30" s="94"/>
      <c r="R30" s="94"/>
      <c r="S30" s="94"/>
      <c r="T30" s="94"/>
      <c r="U30" s="95"/>
      <c r="V30" s="96"/>
      <c r="W30" s="136"/>
      <c r="X30" s="137"/>
    </row>
    <row r="31" spans="1:24" ht="15">
      <c r="A31" s="6" t="s">
        <v>16</v>
      </c>
      <c r="B31" s="9">
        <v>25</v>
      </c>
      <c r="C31" s="9">
        <v>24</v>
      </c>
      <c r="D31" s="10"/>
      <c r="E31" s="10"/>
      <c r="N31" s="141"/>
      <c r="O31" s="108"/>
      <c r="P31" s="94"/>
      <c r="Q31" s="94"/>
      <c r="R31" s="94"/>
      <c r="S31" s="94"/>
      <c r="T31" s="94"/>
      <c r="U31" s="95"/>
      <c r="V31" s="96"/>
      <c r="W31" s="136"/>
      <c r="X31" s="137"/>
    </row>
    <row r="32" spans="1:24" ht="15">
      <c r="A32" s="6" t="s">
        <v>15</v>
      </c>
      <c r="B32" s="9"/>
      <c r="C32" s="9"/>
      <c r="D32" s="10"/>
      <c r="E32" s="10"/>
      <c r="N32" s="141"/>
      <c r="O32" s="108"/>
      <c r="P32" s="94"/>
      <c r="Q32" s="94"/>
      <c r="R32" s="94"/>
      <c r="S32" s="94"/>
      <c r="T32" s="94"/>
      <c r="U32" s="95"/>
      <c r="V32" s="96"/>
      <c r="W32" s="136"/>
      <c r="X32" s="137"/>
    </row>
    <row r="33" spans="14:24" ht="15">
      <c r="N33" s="141"/>
      <c r="O33" s="108"/>
      <c r="P33" s="94"/>
      <c r="Q33" s="94"/>
      <c r="R33" s="94"/>
      <c r="S33" s="94"/>
      <c r="T33" s="94"/>
      <c r="U33" s="95"/>
      <c r="V33" s="96"/>
      <c r="W33" s="136"/>
      <c r="X33" s="137"/>
    </row>
    <row r="34" spans="14:24" ht="15">
      <c r="N34" s="141"/>
      <c r="O34" s="108"/>
      <c r="P34" s="94"/>
      <c r="Q34" s="94"/>
      <c r="R34" s="94"/>
      <c r="S34" s="94"/>
      <c r="T34" s="94"/>
      <c r="U34" s="95"/>
      <c r="V34" s="96"/>
      <c r="W34" s="136"/>
      <c r="X34" s="137"/>
    </row>
    <row r="35" spans="1:24" ht="15.75" thickBot="1">
      <c r="A35" s="28" t="s">
        <v>7</v>
      </c>
      <c r="B35" s="6" t="s">
        <v>17</v>
      </c>
      <c r="C35" s="10"/>
      <c r="D35" s="10"/>
      <c r="E35" s="10"/>
      <c r="N35" s="144"/>
      <c r="O35" s="125"/>
      <c r="P35" s="97"/>
      <c r="Q35" s="97"/>
      <c r="R35" s="97"/>
      <c r="S35" s="97"/>
      <c r="T35" s="97"/>
      <c r="U35" s="116"/>
      <c r="V35" s="117"/>
      <c r="W35" s="138"/>
      <c r="X35" s="139"/>
    </row>
    <row r="36" spans="1:5" ht="15.75" thickBot="1">
      <c r="A36" s="8" t="s">
        <v>151</v>
      </c>
      <c r="B36" s="9">
        <v>16</v>
      </c>
      <c r="C36" s="10"/>
      <c r="D36" s="10"/>
      <c r="E36" s="10"/>
    </row>
    <row r="37" spans="1:24" ht="15">
      <c r="A37" s="10"/>
      <c r="B37" s="6" t="s">
        <v>17</v>
      </c>
      <c r="C37" s="6" t="s">
        <v>190</v>
      </c>
      <c r="D37" s="6" t="s">
        <v>191</v>
      </c>
      <c r="E37" s="6" t="s">
        <v>34</v>
      </c>
      <c r="N37" s="131">
        <f>'Summary Sheet'!D34</f>
        <v>3</v>
      </c>
      <c r="O37" s="128"/>
      <c r="P37" s="145">
        <f>SUMIF($O$3:$O$35,$N37,P$3:P$35)</f>
        <v>0</v>
      </c>
      <c r="Q37" s="145">
        <f>SUMIF($O$3:$O$35,$N37,Q$3:Q$35)</f>
        <v>0</v>
      </c>
      <c r="R37" s="145">
        <f aca="true" t="shared" si="0" ref="R37:V44">SUMIF($O$3:$O$35,$N37,R$3:R$35)</f>
        <v>0</v>
      </c>
      <c r="S37" s="145">
        <f t="shared" si="0"/>
        <v>0</v>
      </c>
      <c r="T37" s="145">
        <f t="shared" si="0"/>
        <v>0</v>
      </c>
      <c r="U37" s="145">
        <f t="shared" si="0"/>
        <v>0</v>
      </c>
      <c r="V37" s="146">
        <f t="shared" si="0"/>
        <v>0</v>
      </c>
      <c r="W37" s="147">
        <f>_xlfn.IFERROR(V37/P37,"")</f>
      </c>
      <c r="X37" s="148">
        <f>_xlfn.IFERROR(V37/U37,"")</f>
      </c>
    </row>
    <row r="38" spans="1:24" ht="15">
      <c r="A38" s="6" t="s">
        <v>8</v>
      </c>
      <c r="B38" s="9">
        <v>64</v>
      </c>
      <c r="C38" s="9"/>
      <c r="D38" s="9"/>
      <c r="E38" s="9"/>
      <c r="N38" s="132">
        <f>'Summary Sheet'!D35</f>
        <v>4</v>
      </c>
      <c r="O38" s="129"/>
      <c r="P38" s="96">
        <f>SUMIF($O$3:O36,N38,$P$3:$P$35)</f>
        <v>64</v>
      </c>
      <c r="Q38" s="96">
        <f aca="true" t="shared" si="1" ref="Q38:Q44">SUMIF($O$3:$O$35,$N38,Q$3:Q$35)</f>
        <v>16</v>
      </c>
      <c r="R38" s="96">
        <f t="shared" si="0"/>
        <v>16</v>
      </c>
      <c r="S38" s="96">
        <f t="shared" si="0"/>
        <v>22</v>
      </c>
      <c r="T38" s="96">
        <f t="shared" si="0"/>
        <v>0</v>
      </c>
      <c r="U38" s="96">
        <f t="shared" si="0"/>
        <v>64</v>
      </c>
      <c r="V38" s="149">
        <f t="shared" si="0"/>
        <v>352</v>
      </c>
      <c r="W38" s="150">
        <f aca="true" t="shared" si="2" ref="W38:W44">_xlfn.IFERROR(V38/P38,"")</f>
        <v>5.5</v>
      </c>
      <c r="X38" s="137">
        <f aca="true" t="shared" si="3" ref="X38:X44">_xlfn.IFERROR(V38/U38,"")</f>
        <v>5.5</v>
      </c>
    </row>
    <row r="39" spans="1:24" ht="15">
      <c r="A39" s="6" t="s">
        <v>9</v>
      </c>
      <c r="B39" s="9">
        <v>48</v>
      </c>
      <c r="C39" s="9">
        <v>13</v>
      </c>
      <c r="D39" s="9"/>
      <c r="E39" s="9"/>
      <c r="N39" s="132">
        <f>'Summary Sheet'!D36</f>
        <v>5</v>
      </c>
      <c r="O39" s="129"/>
      <c r="P39" s="96">
        <f>SUMIF($O$3:O37,N39,$P$3:$P$35)</f>
        <v>125</v>
      </c>
      <c r="Q39" s="96">
        <f t="shared" si="1"/>
        <v>25</v>
      </c>
      <c r="R39" s="96">
        <f t="shared" si="0"/>
        <v>25</v>
      </c>
      <c r="S39" s="96">
        <f t="shared" si="0"/>
        <v>24</v>
      </c>
      <c r="T39" s="96">
        <f t="shared" si="0"/>
        <v>25</v>
      </c>
      <c r="U39" s="96">
        <f t="shared" si="0"/>
        <v>100</v>
      </c>
      <c r="V39" s="149">
        <f t="shared" si="0"/>
        <v>600</v>
      </c>
      <c r="W39" s="150">
        <f t="shared" si="2"/>
        <v>4.8</v>
      </c>
      <c r="X39" s="137">
        <f t="shared" si="3"/>
        <v>6</v>
      </c>
    </row>
    <row r="40" spans="1:24" ht="15">
      <c r="A40" s="6" t="s">
        <v>10</v>
      </c>
      <c r="B40" s="9">
        <v>16</v>
      </c>
      <c r="C40" s="9">
        <v>17</v>
      </c>
      <c r="D40" s="9"/>
      <c r="E40" s="9"/>
      <c r="N40" s="132">
        <f>'Summary Sheet'!D37</f>
        <v>6</v>
      </c>
      <c r="O40" s="129"/>
      <c r="P40" s="96">
        <f>SUMIF($O$3:O38,N40,$P$3:$P$35)</f>
        <v>0</v>
      </c>
      <c r="Q40" s="96">
        <f t="shared" si="1"/>
        <v>0</v>
      </c>
      <c r="R40" s="96">
        <f t="shared" si="0"/>
        <v>0</v>
      </c>
      <c r="S40" s="96">
        <f t="shared" si="0"/>
        <v>0</v>
      </c>
      <c r="T40" s="96">
        <f t="shared" si="0"/>
        <v>0</v>
      </c>
      <c r="U40" s="96">
        <f t="shared" si="0"/>
        <v>0</v>
      </c>
      <c r="V40" s="149">
        <f t="shared" si="0"/>
        <v>0</v>
      </c>
      <c r="W40" s="150">
        <f t="shared" si="2"/>
      </c>
      <c r="X40" s="137">
        <f t="shared" si="3"/>
      </c>
    </row>
    <row r="41" spans="1:24" ht="15">
      <c r="A41" s="6" t="s">
        <v>11</v>
      </c>
      <c r="D41" s="9"/>
      <c r="E41" s="9"/>
      <c r="N41" s="132">
        <f>'Summary Sheet'!D38</f>
        <v>7</v>
      </c>
      <c r="O41" s="129"/>
      <c r="P41" s="96">
        <f>SUMIF($O$3:O39,N41,$P$3:$P$35)</f>
        <v>0</v>
      </c>
      <c r="Q41" s="96">
        <f t="shared" si="1"/>
        <v>0</v>
      </c>
      <c r="R41" s="96">
        <f t="shared" si="0"/>
        <v>0</v>
      </c>
      <c r="S41" s="96">
        <f t="shared" si="0"/>
        <v>0</v>
      </c>
      <c r="T41" s="96">
        <f t="shared" si="0"/>
        <v>0</v>
      </c>
      <c r="U41" s="96">
        <f t="shared" si="0"/>
        <v>0</v>
      </c>
      <c r="V41" s="149">
        <f t="shared" si="0"/>
        <v>0</v>
      </c>
      <c r="W41" s="150">
        <f t="shared" si="2"/>
      </c>
      <c r="X41" s="137">
        <f t="shared" si="3"/>
      </c>
    </row>
    <row r="42" spans="1:24" ht="15">
      <c r="A42" s="6" t="s">
        <v>12</v>
      </c>
      <c r="B42" s="9"/>
      <c r="C42" s="9"/>
      <c r="D42" s="9"/>
      <c r="E42" s="9"/>
      <c r="N42" s="132">
        <f>'Summary Sheet'!D39</f>
        <v>8</v>
      </c>
      <c r="O42" s="129"/>
      <c r="P42" s="96">
        <f>SUMIF($O$3:O40,N42,$P$3:$P$35)</f>
        <v>0</v>
      </c>
      <c r="Q42" s="96">
        <f t="shared" si="1"/>
        <v>0</v>
      </c>
      <c r="R42" s="96">
        <f t="shared" si="0"/>
        <v>0</v>
      </c>
      <c r="S42" s="96">
        <f t="shared" si="0"/>
        <v>0</v>
      </c>
      <c r="T42" s="96">
        <f t="shared" si="0"/>
        <v>0</v>
      </c>
      <c r="U42" s="96">
        <f t="shared" si="0"/>
        <v>0</v>
      </c>
      <c r="V42" s="149">
        <f t="shared" si="0"/>
        <v>0</v>
      </c>
      <c r="W42" s="150">
        <f t="shared" si="2"/>
      </c>
      <c r="X42" s="137">
        <f t="shared" si="3"/>
      </c>
    </row>
    <row r="43" spans="1:24" ht="15">
      <c r="A43" s="6" t="s">
        <v>13</v>
      </c>
      <c r="B43" s="9"/>
      <c r="C43" s="9"/>
      <c r="D43" s="9"/>
      <c r="E43" s="9"/>
      <c r="N43" s="132">
        <f>'Summary Sheet'!D40</f>
        <v>9</v>
      </c>
      <c r="O43" s="129"/>
      <c r="P43" s="96">
        <f>SUMIF($O$3:O41,N43,$P$3:$P$35)</f>
        <v>0</v>
      </c>
      <c r="Q43" s="96">
        <f t="shared" si="1"/>
        <v>0</v>
      </c>
      <c r="R43" s="96">
        <f t="shared" si="0"/>
        <v>0</v>
      </c>
      <c r="S43" s="96">
        <f t="shared" si="0"/>
        <v>0</v>
      </c>
      <c r="T43" s="96">
        <f t="shared" si="0"/>
        <v>0</v>
      </c>
      <c r="U43" s="96">
        <f t="shared" si="0"/>
        <v>0</v>
      </c>
      <c r="V43" s="149">
        <f t="shared" si="0"/>
        <v>0</v>
      </c>
      <c r="W43" s="150">
        <f t="shared" si="2"/>
      </c>
      <c r="X43" s="137">
        <f t="shared" si="3"/>
      </c>
    </row>
    <row r="44" spans="1:24" ht="15.75" thickBot="1">
      <c r="A44" s="6" t="s">
        <v>14</v>
      </c>
      <c r="B44" s="9"/>
      <c r="C44" s="9"/>
      <c r="D44" s="9"/>
      <c r="E44" s="9"/>
      <c r="N44" s="133">
        <f>'Summary Sheet'!D41</f>
        <v>10</v>
      </c>
      <c r="O44" s="130"/>
      <c r="P44" s="117">
        <f>SUMIF($O$3:O42,N44,$P$3:$P$35)</f>
        <v>0</v>
      </c>
      <c r="Q44" s="117">
        <f t="shared" si="1"/>
        <v>0</v>
      </c>
      <c r="R44" s="117">
        <f t="shared" si="0"/>
        <v>0</v>
      </c>
      <c r="S44" s="117">
        <f t="shared" si="0"/>
        <v>0</v>
      </c>
      <c r="T44" s="117">
        <f t="shared" si="0"/>
        <v>0</v>
      </c>
      <c r="U44" s="117">
        <f t="shared" si="0"/>
        <v>0</v>
      </c>
      <c r="V44" s="151">
        <f t="shared" si="0"/>
        <v>0</v>
      </c>
      <c r="W44" s="152">
        <f t="shared" si="2"/>
      </c>
      <c r="X44" s="139">
        <f t="shared" si="3"/>
      </c>
    </row>
    <row r="45" spans="1:5" ht="15">
      <c r="A45" s="10"/>
      <c r="B45" s="6" t="s">
        <v>17</v>
      </c>
      <c r="C45" s="6" t="s">
        <v>18</v>
      </c>
      <c r="D45" s="10"/>
      <c r="E45" s="10"/>
    </row>
    <row r="46" spans="1:5" ht="15">
      <c r="A46" s="6" t="s">
        <v>16</v>
      </c>
      <c r="B46" s="9">
        <v>16</v>
      </c>
      <c r="C46" s="9">
        <v>22</v>
      </c>
      <c r="D46" s="10"/>
      <c r="E46" s="10"/>
    </row>
    <row r="47" spans="1:5" ht="15">
      <c r="A47" s="6" t="s">
        <v>15</v>
      </c>
      <c r="B47" s="9"/>
      <c r="C47" s="9"/>
      <c r="D47" s="10"/>
      <c r="E47" s="10"/>
    </row>
  </sheetData>
  <sheetProtection/>
  <printOptions/>
  <pageMargins left="0.7" right="0.7" top="0.75" bottom="0.75" header="0.3" footer="0.3"/>
  <pageSetup horizontalDpi="600" verticalDpi="600" orientation="landscape" paperSize="9" scale="65" r:id="rId1"/>
  <colBreaks count="2" manualBreakCount="2">
    <brk id="5" max="65535" man="1"/>
    <brk id="12" max="65535" man="1"/>
  </colBreaks>
</worksheet>
</file>

<file path=xl/worksheets/sheet13.xml><?xml version="1.0" encoding="utf-8"?>
<worksheet xmlns="http://schemas.openxmlformats.org/spreadsheetml/2006/main" xmlns:r="http://schemas.openxmlformats.org/officeDocument/2006/relationships">
  <sheetPr>
    <tabColor theme="9"/>
  </sheetPr>
  <dimension ref="A1:X107"/>
  <sheetViews>
    <sheetView view="pageBreakPreview" zoomScale="60" zoomScaleNormal="85" zoomScalePageLayoutView="0" workbookViewId="0" topLeftCell="A10">
      <selection activeCell="N41" sqref="N41"/>
    </sheetView>
  </sheetViews>
  <sheetFormatPr defaultColWidth="9.140625" defaultRowHeight="15"/>
  <cols>
    <col min="1" max="1" width="31.28125" style="0" customWidth="1"/>
    <col min="3" max="3" width="20.140625" style="0" bestFit="1" customWidth="1"/>
    <col min="4" max="4" width="26.28125" style="0" bestFit="1" customWidth="1"/>
    <col min="5" max="5" width="17.00390625" style="0" bestFit="1" customWidth="1"/>
    <col min="7" max="7" width="11.7109375" style="0" customWidth="1"/>
    <col min="9" max="9" width="14.00390625" style="0" customWidth="1"/>
    <col min="10" max="10" width="7.00390625" style="0" customWidth="1"/>
    <col min="11" max="11" width="73.7109375" style="0" bestFit="1" customWidth="1"/>
    <col min="12" max="12" width="12.421875" style="0" customWidth="1"/>
    <col min="13" max="13" width="5.28125" style="0" customWidth="1"/>
    <col min="14" max="14" width="16.421875" style="0" customWidth="1"/>
    <col min="15" max="15" width="14.57421875" style="0" customWidth="1"/>
    <col min="16" max="16" width="12.7109375" style="0" bestFit="1" customWidth="1"/>
    <col min="17" max="17" width="8.421875" style="0" bestFit="1" customWidth="1"/>
    <col min="18" max="18" width="12.7109375" style="0" bestFit="1" customWidth="1"/>
    <col min="20" max="21" width="15.421875" style="0" bestFit="1" customWidth="1"/>
    <col min="22" max="22" width="12.7109375" style="0" bestFit="1" customWidth="1"/>
    <col min="23" max="23" width="14.421875" style="0" bestFit="1" customWidth="1"/>
    <col min="24" max="24" width="15.421875" style="0" bestFit="1" customWidth="1"/>
  </cols>
  <sheetData>
    <row r="1" spans="1:2" ht="15.75" thickBot="1">
      <c r="A1" s="6" t="s">
        <v>19</v>
      </c>
      <c r="B1" s="10"/>
    </row>
    <row r="2" spans="1:24" ht="75">
      <c r="A2" s="7" t="s">
        <v>1</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610</v>
      </c>
      <c r="N3" s="114" t="s">
        <v>156</v>
      </c>
      <c r="O3" s="107">
        <f>P3/Q3</f>
        <v>5</v>
      </c>
      <c r="P3" s="98">
        <f>B8</f>
        <v>75</v>
      </c>
      <c r="Q3" s="98">
        <f>B6</f>
        <v>15</v>
      </c>
      <c r="R3" s="98">
        <f>B16</f>
        <v>15</v>
      </c>
      <c r="S3" s="98">
        <f>C16</f>
        <v>28</v>
      </c>
      <c r="T3" s="98">
        <v>0</v>
      </c>
      <c r="U3" s="99">
        <f>P3-T3</f>
        <v>75</v>
      </c>
      <c r="V3" s="100">
        <f>R3*S3</f>
        <v>420</v>
      </c>
      <c r="W3" s="118">
        <f>V3/P3</f>
        <v>5.6</v>
      </c>
      <c r="X3" s="121">
        <f>V3/U3</f>
        <v>5.6</v>
      </c>
    </row>
    <row r="4" spans="14:24" ht="15">
      <c r="N4" s="115" t="s">
        <v>156</v>
      </c>
      <c r="O4" s="108">
        <f>P4/Q4</f>
        <v>5</v>
      </c>
      <c r="P4" s="94">
        <f>B23</f>
        <v>120</v>
      </c>
      <c r="Q4" s="94">
        <f>B21</f>
        <v>24</v>
      </c>
      <c r="R4" s="94">
        <f>B31</f>
        <v>24</v>
      </c>
      <c r="S4" s="94">
        <f>C31</f>
        <v>28</v>
      </c>
      <c r="T4" s="94">
        <v>0</v>
      </c>
      <c r="U4" s="95">
        <f>P4-T4</f>
        <v>120</v>
      </c>
      <c r="V4" s="96">
        <f>R4*S4</f>
        <v>672</v>
      </c>
      <c r="W4" s="119">
        <f>V4/P4</f>
        <v>5.6</v>
      </c>
      <c r="X4" s="122">
        <f>V4/U4</f>
        <v>5.6</v>
      </c>
    </row>
    <row r="5" spans="1:24" ht="15">
      <c r="A5" s="28" t="s">
        <v>7</v>
      </c>
      <c r="B5" s="6" t="s">
        <v>17</v>
      </c>
      <c r="C5" s="10"/>
      <c r="D5" s="10"/>
      <c r="E5" s="10"/>
      <c r="K5" s="20" t="str">
        <f>'Summary Sheet'!C6</f>
        <v>General Communal Area</v>
      </c>
      <c r="L5" s="182">
        <f>B3</f>
        <v>610</v>
      </c>
      <c r="N5" s="115" t="s">
        <v>156</v>
      </c>
      <c r="O5" s="108">
        <f>P5/Q5</f>
        <v>6</v>
      </c>
      <c r="P5" s="94">
        <f>B38</f>
        <v>132</v>
      </c>
      <c r="Q5" s="94">
        <f>B36</f>
        <v>22</v>
      </c>
      <c r="R5" s="94">
        <f>B46</f>
        <v>22</v>
      </c>
      <c r="S5" s="94">
        <f>C46</f>
        <v>28</v>
      </c>
      <c r="T5" s="94">
        <v>0</v>
      </c>
      <c r="U5" s="95">
        <f>P5-T5</f>
        <v>132</v>
      </c>
      <c r="V5" s="96">
        <f>R5*S5</f>
        <v>616</v>
      </c>
      <c r="W5" s="119">
        <f>V5/P5</f>
        <v>4.666666666666667</v>
      </c>
      <c r="X5" s="123">
        <f>V5/U5</f>
        <v>4.666666666666667</v>
      </c>
    </row>
    <row r="6" spans="1:24" ht="15">
      <c r="A6" s="8" t="s">
        <v>44</v>
      </c>
      <c r="B6" s="9">
        <v>15</v>
      </c>
      <c r="C6" s="10"/>
      <c r="D6" s="10"/>
      <c r="E6" s="10"/>
      <c r="K6" s="20" t="str">
        <f>'Summary Sheet'!C7</f>
        <v>Kitchen / Dining / Living Area (Shared Internal Area)</v>
      </c>
      <c r="L6" s="182">
        <f>(B16*C16)+(B31*C31)+(B46*C46)+(B61*C61)</f>
        <v>1988</v>
      </c>
      <c r="N6" s="115" t="s">
        <v>156</v>
      </c>
      <c r="O6" s="108">
        <f>P6/Q6</f>
        <v>5</v>
      </c>
      <c r="P6" s="94">
        <f>B53</f>
        <v>50</v>
      </c>
      <c r="Q6" s="94">
        <f>B51</f>
        <v>10</v>
      </c>
      <c r="R6" s="94">
        <f>B61</f>
        <v>10</v>
      </c>
      <c r="S6" s="94">
        <f>C61</f>
        <v>28</v>
      </c>
      <c r="T6" s="94">
        <v>0</v>
      </c>
      <c r="U6" s="95">
        <f>P6-T6</f>
        <v>50</v>
      </c>
      <c r="V6" s="96">
        <f>R6*S6</f>
        <v>280</v>
      </c>
      <c r="W6" s="119">
        <f>V6/P6</f>
        <v>5.6</v>
      </c>
      <c r="X6" s="123">
        <f>V6/U6</f>
        <v>5.6</v>
      </c>
    </row>
    <row r="7" spans="1:24" ht="15">
      <c r="A7" s="10"/>
      <c r="B7" s="6" t="s">
        <v>17</v>
      </c>
      <c r="C7" s="6" t="s">
        <v>190</v>
      </c>
      <c r="D7" s="6" t="s">
        <v>191</v>
      </c>
      <c r="E7" s="6" t="s">
        <v>34</v>
      </c>
      <c r="G7" s="6" t="s">
        <v>21</v>
      </c>
      <c r="H7" s="6" t="s">
        <v>17</v>
      </c>
      <c r="I7" s="6" t="s">
        <v>18</v>
      </c>
      <c r="K7" s="20" t="str">
        <f>'Summary Sheet'!C8</f>
        <v>Total Communal Area</v>
      </c>
      <c r="L7" s="185">
        <f>SUM(L5:L6)</f>
        <v>2598</v>
      </c>
      <c r="N7" s="115"/>
      <c r="O7" s="108"/>
      <c r="P7" s="94"/>
      <c r="Q7" s="94"/>
      <c r="R7" s="94"/>
      <c r="S7" s="94"/>
      <c r="T7" s="94"/>
      <c r="U7" s="95"/>
      <c r="V7" s="96"/>
      <c r="W7" s="119"/>
      <c r="X7" s="123"/>
    </row>
    <row r="8" spans="1:24" ht="15">
      <c r="A8" s="6" t="s">
        <v>8</v>
      </c>
      <c r="B8" s="9">
        <v>75</v>
      </c>
      <c r="C8" s="9"/>
      <c r="D8" s="9"/>
      <c r="E8" s="9"/>
      <c r="G8" s="6" t="s">
        <v>22</v>
      </c>
      <c r="H8" s="11">
        <v>86</v>
      </c>
      <c r="I8" s="11">
        <v>22</v>
      </c>
      <c r="K8" s="20"/>
      <c r="L8" s="182"/>
      <c r="N8" s="115"/>
      <c r="O8" s="108"/>
      <c r="P8" s="94"/>
      <c r="Q8" s="94"/>
      <c r="R8" s="94"/>
      <c r="S8" s="94"/>
      <c r="T8" s="94"/>
      <c r="U8" s="95"/>
      <c r="V8" s="96"/>
      <c r="W8" s="119"/>
      <c r="X8" s="123"/>
    </row>
    <row r="9" spans="1:24" ht="15">
      <c r="A9" s="6" t="s">
        <v>9</v>
      </c>
      <c r="B9" s="9">
        <v>75</v>
      </c>
      <c r="C9" s="9">
        <v>16</v>
      </c>
      <c r="D9" s="9"/>
      <c r="E9" s="9"/>
      <c r="G9" s="6" t="s">
        <v>23</v>
      </c>
      <c r="H9" s="11"/>
      <c r="I9" s="11"/>
      <c r="K9" s="20"/>
      <c r="L9" s="182"/>
      <c r="N9" s="115"/>
      <c r="O9" s="108"/>
      <c r="P9" s="94"/>
      <c r="Q9" s="94"/>
      <c r="R9" s="94"/>
      <c r="S9" s="94"/>
      <c r="T9" s="94"/>
      <c r="U9" s="95"/>
      <c r="V9" s="96"/>
      <c r="W9" s="119"/>
      <c r="X9" s="123"/>
    </row>
    <row r="10" spans="1:24" ht="15">
      <c r="A10" s="6" t="s">
        <v>10</v>
      </c>
      <c r="B10" s="9"/>
      <c r="C10" s="9"/>
      <c r="D10" s="9"/>
      <c r="E10" s="9"/>
      <c r="G10" s="6" t="s">
        <v>24</v>
      </c>
      <c r="H10" s="11"/>
      <c r="I10" s="11"/>
      <c r="K10" s="20" t="str">
        <f>'Summary Sheet'!C10</f>
        <v>Number of Bedrooms (cluster &amp; studio) (non Accessible)</v>
      </c>
      <c r="L10" s="6">
        <f>B9+B24+B39+B40+B54+H8</f>
        <v>463</v>
      </c>
      <c r="N10" s="115"/>
      <c r="O10" s="108"/>
      <c r="P10" s="94"/>
      <c r="Q10" s="94"/>
      <c r="R10" s="94"/>
      <c r="S10" s="94"/>
      <c r="T10" s="94"/>
      <c r="U10" s="95"/>
      <c r="V10" s="96"/>
      <c r="W10" s="119"/>
      <c r="X10" s="123"/>
    </row>
    <row r="11" spans="1:24" ht="15">
      <c r="A11" s="6" t="s">
        <v>11</v>
      </c>
      <c r="B11" s="9"/>
      <c r="C11" s="9"/>
      <c r="D11" s="9"/>
      <c r="E11" s="9"/>
      <c r="G11" s="6" t="s">
        <v>25</v>
      </c>
      <c r="H11" s="11"/>
      <c r="I11" s="11"/>
      <c r="K11" s="20" t="str">
        <f>'Summary Sheet'!C11</f>
        <v>Total Area of Bedrooms (cluster &amp; studio) (non Accessible)</v>
      </c>
      <c r="L11" s="182">
        <f>(B9*C9)+(B24*C24)+(B39*C39)+(B40*C40)+(B54*C54)+(H8*I8)</f>
        <v>7496</v>
      </c>
      <c r="N11" s="115"/>
      <c r="O11" s="108"/>
      <c r="P11" s="94"/>
      <c r="Q11" s="94"/>
      <c r="R11" s="94"/>
      <c r="S11" s="94"/>
      <c r="T11" s="94"/>
      <c r="U11" s="96"/>
      <c r="V11" s="96"/>
      <c r="W11" s="119"/>
      <c r="X11" s="123"/>
    </row>
    <row r="12" spans="1:24" ht="15">
      <c r="A12" s="6" t="s">
        <v>12</v>
      </c>
      <c r="B12" s="9"/>
      <c r="C12" s="9"/>
      <c r="D12" s="9"/>
      <c r="E12" s="9"/>
      <c r="G12" s="6" t="s">
        <v>26</v>
      </c>
      <c r="H12" s="11"/>
      <c r="I12" s="11"/>
      <c r="K12" s="20" t="str">
        <f>'Summary Sheet'!C12</f>
        <v>Average size of Bedroom (cluster &amp; studio) (non Accessible)</v>
      </c>
      <c r="L12" s="185">
        <f>L11/L10</f>
        <v>16.190064794816415</v>
      </c>
      <c r="N12" s="115"/>
      <c r="O12" s="108"/>
      <c r="P12" s="94"/>
      <c r="Q12" s="94"/>
      <c r="R12" s="94"/>
      <c r="S12" s="94"/>
      <c r="T12" s="94"/>
      <c r="U12" s="95"/>
      <c r="V12" s="96"/>
      <c r="W12" s="119"/>
      <c r="X12" s="123"/>
    </row>
    <row r="13" spans="1:24" ht="15">
      <c r="A13" s="6" t="s">
        <v>13</v>
      </c>
      <c r="B13" s="9"/>
      <c r="C13" s="9"/>
      <c r="D13" s="9"/>
      <c r="E13" s="9"/>
      <c r="G13" s="6" t="s">
        <v>27</v>
      </c>
      <c r="H13" s="11"/>
      <c r="I13" s="11"/>
      <c r="K13" s="20"/>
      <c r="L13" s="185"/>
      <c r="N13" s="115"/>
      <c r="O13" s="108"/>
      <c r="P13" s="94"/>
      <c r="Q13" s="94"/>
      <c r="R13" s="94"/>
      <c r="S13" s="94"/>
      <c r="T13" s="94"/>
      <c r="U13" s="95"/>
      <c r="V13" s="96"/>
      <c r="W13" s="119"/>
      <c r="X13" s="123"/>
    </row>
    <row r="14" spans="1:24" ht="15">
      <c r="A14" s="6" t="s">
        <v>14</v>
      </c>
      <c r="B14" s="9"/>
      <c r="C14" s="9"/>
      <c r="D14" s="9"/>
      <c r="E14" s="9"/>
      <c r="G14" s="6" t="s">
        <v>28</v>
      </c>
      <c r="H14" s="11"/>
      <c r="I14" s="11"/>
      <c r="K14" s="20" t="str">
        <f>'Summary Sheet'!C14</f>
        <v>Number of Cluster Bedrooms (non Accessible)</v>
      </c>
      <c r="L14" s="186">
        <f>B9+B24+B39+B40+B54</f>
        <v>377</v>
      </c>
      <c r="N14" s="115"/>
      <c r="O14" s="108"/>
      <c r="P14" s="94"/>
      <c r="Q14" s="94"/>
      <c r="R14" s="94"/>
      <c r="S14" s="94"/>
      <c r="T14" s="94"/>
      <c r="U14" s="95"/>
      <c r="V14" s="96"/>
      <c r="W14" s="119"/>
      <c r="X14" s="123"/>
    </row>
    <row r="15" spans="1:24" ht="15">
      <c r="A15" s="10"/>
      <c r="B15" s="6" t="s">
        <v>17</v>
      </c>
      <c r="C15" s="6" t="s">
        <v>18</v>
      </c>
      <c r="D15" s="10"/>
      <c r="E15" s="10"/>
      <c r="G15" s="6" t="s">
        <v>29</v>
      </c>
      <c r="H15" s="11"/>
      <c r="I15" s="11"/>
      <c r="K15" s="20" t="str">
        <f>'Summary Sheet'!C15</f>
        <v>Total Area of Cluster Bedrooms (non Accessible)</v>
      </c>
      <c r="L15" s="6">
        <f>(B9*C9)+(B24*C24)+(B39*C39)+(B40*C40)+(B54*C54)</f>
        <v>5604</v>
      </c>
      <c r="N15" s="115"/>
      <c r="O15" s="108"/>
      <c r="P15" s="94"/>
      <c r="Q15" s="94"/>
      <c r="R15" s="94"/>
      <c r="S15" s="94"/>
      <c r="T15" s="94"/>
      <c r="U15" s="95"/>
      <c r="V15" s="96"/>
      <c r="W15" s="119"/>
      <c r="X15" s="123"/>
    </row>
    <row r="16" spans="1:24" ht="15">
      <c r="A16" s="6" t="s">
        <v>16</v>
      </c>
      <c r="B16" s="9">
        <v>15</v>
      </c>
      <c r="C16" s="9">
        <v>28</v>
      </c>
      <c r="D16" s="10"/>
      <c r="E16" s="10"/>
      <c r="G16" s="6" t="s">
        <v>30</v>
      </c>
      <c r="H16" s="11"/>
      <c r="I16" s="11"/>
      <c r="K16" s="20" t="str">
        <f>'Summary Sheet'!C16</f>
        <v>Average Size of Cluster Bedroom (non Accessible)</v>
      </c>
      <c r="L16" s="187">
        <f>L15/L14</f>
        <v>14.86472148541114</v>
      </c>
      <c r="N16" s="115"/>
      <c r="O16" s="108"/>
      <c r="P16" s="94"/>
      <c r="Q16" s="94"/>
      <c r="R16" s="94"/>
      <c r="S16" s="94"/>
      <c r="T16" s="94"/>
      <c r="U16" s="95"/>
      <c r="V16" s="96"/>
      <c r="W16" s="119"/>
      <c r="X16" s="123"/>
    </row>
    <row r="17" spans="1:24" ht="15">
      <c r="A17" s="6" t="s">
        <v>15</v>
      </c>
      <c r="B17" s="9"/>
      <c r="C17" s="9"/>
      <c r="D17" s="10"/>
      <c r="E17" s="10"/>
      <c r="G17" s="6" t="s">
        <v>31</v>
      </c>
      <c r="H17" s="11"/>
      <c r="I17" s="11"/>
      <c r="K17" s="20"/>
      <c r="L17" s="188"/>
      <c r="N17" s="115"/>
      <c r="O17" s="108"/>
      <c r="P17" s="94"/>
      <c r="Q17" s="94"/>
      <c r="R17" s="94"/>
      <c r="S17" s="94"/>
      <c r="T17" s="94"/>
      <c r="U17" s="95"/>
      <c r="V17" s="96"/>
      <c r="W17" s="119"/>
      <c r="X17" s="123"/>
    </row>
    <row r="18" spans="7:24" ht="15">
      <c r="G18" s="6" t="s">
        <v>32</v>
      </c>
      <c r="H18" s="11"/>
      <c r="I18" s="11"/>
      <c r="K18" s="20" t="str">
        <f>'Summary Sheet'!C18</f>
        <v>Number of Studio Bedspaces (non Accessible)</v>
      </c>
      <c r="L18" s="186">
        <f>H8</f>
        <v>86</v>
      </c>
      <c r="N18" s="115"/>
      <c r="O18" s="108"/>
      <c r="P18" s="94"/>
      <c r="Q18" s="94"/>
      <c r="R18" s="94"/>
      <c r="S18" s="94"/>
      <c r="T18" s="94"/>
      <c r="U18" s="95"/>
      <c r="V18" s="96"/>
      <c r="W18" s="119"/>
      <c r="X18" s="123"/>
    </row>
    <row r="19" spans="7:24" ht="15">
      <c r="G19" s="6" t="s">
        <v>33</v>
      </c>
      <c r="H19" s="11"/>
      <c r="I19" s="11"/>
      <c r="K19" s="20" t="str">
        <f>'Summary Sheet'!C19</f>
        <v>Total Area of Studio Bedspace (non Accessible)</v>
      </c>
      <c r="L19" s="186">
        <f>H8*I8</f>
        <v>1892</v>
      </c>
      <c r="N19" s="115"/>
      <c r="O19" s="108"/>
      <c r="P19" s="94"/>
      <c r="Q19" s="94"/>
      <c r="R19" s="94"/>
      <c r="S19" s="94"/>
      <c r="T19" s="94"/>
      <c r="U19" s="95"/>
      <c r="V19" s="96"/>
      <c r="W19" s="119"/>
      <c r="X19" s="123"/>
    </row>
    <row r="20" spans="1:24" ht="15">
      <c r="A20" s="28" t="s">
        <v>7</v>
      </c>
      <c r="B20" s="6" t="s">
        <v>17</v>
      </c>
      <c r="C20" s="10"/>
      <c r="D20" s="10"/>
      <c r="E20" s="10"/>
      <c r="K20" s="20" t="str">
        <f>'Summary Sheet'!C20</f>
        <v>Average Size of Studio Bedspaces (non Accessible)</v>
      </c>
      <c r="L20" s="189">
        <f>L19/L18</f>
        <v>22</v>
      </c>
      <c r="N20" s="115"/>
      <c r="O20" s="108"/>
      <c r="P20" s="94"/>
      <c r="Q20" s="94"/>
      <c r="R20" s="94"/>
      <c r="S20" s="94"/>
      <c r="T20" s="94"/>
      <c r="U20" s="95"/>
      <c r="V20" s="96"/>
      <c r="W20" s="119"/>
      <c r="X20" s="123"/>
    </row>
    <row r="21" spans="1:24" ht="15">
      <c r="A21" s="8" t="s">
        <v>45</v>
      </c>
      <c r="B21" s="9">
        <v>24</v>
      </c>
      <c r="C21" s="10"/>
      <c r="D21" s="10"/>
      <c r="E21" s="10"/>
      <c r="K21" s="20"/>
      <c r="L21" s="182"/>
      <c r="N21" s="115"/>
      <c r="O21" s="108"/>
      <c r="P21" s="94"/>
      <c r="Q21" s="94"/>
      <c r="R21" s="94"/>
      <c r="S21" s="94"/>
      <c r="T21" s="94"/>
      <c r="U21" s="95"/>
      <c r="V21" s="96"/>
      <c r="W21" s="119"/>
      <c r="X21" s="123"/>
    </row>
    <row r="22" spans="1:24" ht="15">
      <c r="A22" s="10"/>
      <c r="B22" s="6" t="s">
        <v>17</v>
      </c>
      <c r="C22" s="6" t="s">
        <v>190</v>
      </c>
      <c r="D22" s="6" t="s">
        <v>191</v>
      </c>
      <c r="E22" s="6" t="s">
        <v>34</v>
      </c>
      <c r="K22" s="6" t="str">
        <f>'Summary Sheet'!C24</f>
        <v>Total Number of Bedrooms Inc Accessible</v>
      </c>
      <c r="L22" s="6">
        <f>L10</f>
        <v>463</v>
      </c>
      <c r="N22" s="115"/>
      <c r="O22" s="108"/>
      <c r="P22" s="94"/>
      <c r="Q22" s="94"/>
      <c r="R22" s="94"/>
      <c r="S22" s="94"/>
      <c r="T22" s="94"/>
      <c r="U22" s="95"/>
      <c r="V22" s="96"/>
      <c r="W22" s="119"/>
      <c r="X22" s="123"/>
    </row>
    <row r="23" spans="1:24" ht="15">
      <c r="A23" s="6" t="s">
        <v>8</v>
      </c>
      <c r="B23" s="9">
        <v>120</v>
      </c>
      <c r="C23" s="9"/>
      <c r="D23" s="9"/>
      <c r="E23" s="9"/>
      <c r="K23" s="6" t="str">
        <f>'Summary Sheet'!C26</f>
        <v>Number of Accessible Bedrooms</v>
      </c>
      <c r="L23" s="6">
        <v>0</v>
      </c>
      <c r="N23" s="115"/>
      <c r="O23" s="108"/>
      <c r="P23" s="94"/>
      <c r="Q23" s="94"/>
      <c r="R23" s="94"/>
      <c r="S23" s="94"/>
      <c r="T23" s="94"/>
      <c r="U23" s="95"/>
      <c r="V23" s="96"/>
      <c r="W23" s="119"/>
      <c r="X23" s="123"/>
    </row>
    <row r="24" spans="1:24" ht="15">
      <c r="A24" s="6" t="s">
        <v>9</v>
      </c>
      <c r="B24" s="9">
        <v>120</v>
      </c>
      <c r="C24" s="9">
        <v>14</v>
      </c>
      <c r="D24" s="9"/>
      <c r="E24" s="9"/>
      <c r="K24" s="198" t="str">
        <f>'Summary Sheet'!C27</f>
        <v>Average Size of Accessible Bedroom</v>
      </c>
      <c r="L24" s="199">
        <v>0</v>
      </c>
      <c r="N24" s="115"/>
      <c r="O24" s="108"/>
      <c r="P24" s="94"/>
      <c r="Q24" s="94"/>
      <c r="R24" s="94"/>
      <c r="S24" s="94"/>
      <c r="T24" s="94"/>
      <c r="U24" s="95"/>
      <c r="V24" s="96"/>
      <c r="W24" s="119"/>
      <c r="X24" s="123"/>
    </row>
    <row r="25" spans="1:24" ht="15">
      <c r="A25" s="6" t="s">
        <v>10</v>
      </c>
      <c r="B25" s="9"/>
      <c r="C25" s="9"/>
      <c r="D25" s="9"/>
      <c r="E25" s="9"/>
      <c r="K25" s="201"/>
      <c r="L25" s="202"/>
      <c r="N25" s="115"/>
      <c r="O25" s="108"/>
      <c r="P25" s="94"/>
      <c r="Q25" s="94"/>
      <c r="R25" s="94"/>
      <c r="S25" s="94"/>
      <c r="T25" s="94"/>
      <c r="U25" s="95"/>
      <c r="V25" s="96"/>
      <c r="W25" s="119"/>
      <c r="X25" s="123"/>
    </row>
    <row r="26" spans="1:24" ht="15">
      <c r="A26" s="6" t="s">
        <v>11</v>
      </c>
      <c r="B26" s="9"/>
      <c r="C26" s="9"/>
      <c r="D26" s="9"/>
      <c r="E26" s="9"/>
      <c r="K26" s="12"/>
      <c r="L26" s="12"/>
      <c r="N26" s="115"/>
      <c r="O26" s="108"/>
      <c r="P26" s="94"/>
      <c r="Q26" s="94"/>
      <c r="R26" s="94"/>
      <c r="S26" s="94"/>
      <c r="T26" s="94"/>
      <c r="U26" s="95"/>
      <c r="V26" s="96"/>
      <c r="W26" s="119"/>
      <c r="X26" s="123"/>
    </row>
    <row r="27" spans="1:24" ht="15">
      <c r="A27" s="6" t="s">
        <v>12</v>
      </c>
      <c r="B27" s="9"/>
      <c r="C27" s="9"/>
      <c r="D27" s="9"/>
      <c r="E27" s="9"/>
      <c r="N27" s="115"/>
      <c r="O27" s="108"/>
      <c r="P27" s="94"/>
      <c r="Q27" s="94"/>
      <c r="R27" s="94"/>
      <c r="S27" s="94"/>
      <c r="T27" s="94"/>
      <c r="U27" s="95"/>
      <c r="V27" s="96"/>
      <c r="W27" s="119"/>
      <c r="X27" s="123"/>
    </row>
    <row r="28" spans="1:24" ht="15">
      <c r="A28" s="6" t="s">
        <v>13</v>
      </c>
      <c r="B28" s="9"/>
      <c r="C28" s="9"/>
      <c r="D28" s="9"/>
      <c r="E28" s="9"/>
      <c r="N28" s="115"/>
      <c r="O28" s="108"/>
      <c r="P28" s="94"/>
      <c r="Q28" s="94"/>
      <c r="R28" s="94"/>
      <c r="S28" s="94"/>
      <c r="T28" s="94"/>
      <c r="U28" s="95"/>
      <c r="V28" s="96"/>
      <c r="W28" s="119"/>
      <c r="X28" s="123"/>
    </row>
    <row r="29" spans="1:24" ht="15">
      <c r="A29" s="6" t="s">
        <v>14</v>
      </c>
      <c r="B29" s="9"/>
      <c r="C29" s="9"/>
      <c r="D29" s="9"/>
      <c r="E29" s="9"/>
      <c r="N29" s="115"/>
      <c r="O29" s="108"/>
      <c r="P29" s="94"/>
      <c r="Q29" s="94"/>
      <c r="R29" s="94"/>
      <c r="S29" s="94"/>
      <c r="T29" s="94"/>
      <c r="U29" s="95"/>
      <c r="V29" s="96"/>
      <c r="W29" s="119"/>
      <c r="X29" s="123"/>
    </row>
    <row r="30" spans="1:24" ht="15">
      <c r="A30" s="10"/>
      <c r="B30" s="6" t="s">
        <v>17</v>
      </c>
      <c r="C30" s="6" t="s">
        <v>18</v>
      </c>
      <c r="D30" s="10"/>
      <c r="E30" s="10"/>
      <c r="N30" s="115"/>
      <c r="O30" s="108"/>
      <c r="P30" s="94"/>
      <c r="Q30" s="94"/>
      <c r="R30" s="94"/>
      <c r="S30" s="94"/>
      <c r="T30" s="94"/>
      <c r="U30" s="95"/>
      <c r="V30" s="96"/>
      <c r="W30" s="119"/>
      <c r="X30" s="123"/>
    </row>
    <row r="31" spans="1:24" ht="15">
      <c r="A31" s="6" t="s">
        <v>16</v>
      </c>
      <c r="B31" s="9">
        <v>24</v>
      </c>
      <c r="C31" s="9">
        <v>28</v>
      </c>
      <c r="D31" s="10"/>
      <c r="E31" s="10"/>
      <c r="N31" s="115"/>
      <c r="O31" s="108"/>
      <c r="P31" s="94"/>
      <c r="Q31" s="94"/>
      <c r="R31" s="94"/>
      <c r="S31" s="94"/>
      <c r="T31" s="94"/>
      <c r="U31" s="95"/>
      <c r="V31" s="96"/>
      <c r="W31" s="119"/>
      <c r="X31" s="123"/>
    </row>
    <row r="32" spans="1:24" ht="15">
      <c r="A32" s="6" t="s">
        <v>15</v>
      </c>
      <c r="B32" s="9"/>
      <c r="C32" s="9"/>
      <c r="D32" s="10"/>
      <c r="E32" s="10"/>
      <c r="N32" s="115"/>
      <c r="O32" s="108"/>
      <c r="P32" s="94"/>
      <c r="Q32" s="94"/>
      <c r="R32" s="94"/>
      <c r="S32" s="94"/>
      <c r="T32" s="94"/>
      <c r="U32" s="95"/>
      <c r="V32" s="96"/>
      <c r="W32" s="119"/>
      <c r="X32" s="123"/>
    </row>
    <row r="33" spans="14:24" ht="15">
      <c r="N33" s="115"/>
      <c r="O33" s="108"/>
      <c r="P33" s="94"/>
      <c r="Q33" s="94"/>
      <c r="R33" s="94"/>
      <c r="S33" s="94"/>
      <c r="T33" s="94"/>
      <c r="U33" s="95"/>
      <c r="V33" s="96"/>
      <c r="W33" s="119"/>
      <c r="X33" s="123"/>
    </row>
    <row r="34" spans="14:24" ht="15">
      <c r="N34" s="112"/>
      <c r="O34" s="108"/>
      <c r="P34" s="94"/>
      <c r="Q34" s="94"/>
      <c r="R34" s="94"/>
      <c r="S34" s="94"/>
      <c r="T34" s="94"/>
      <c r="U34" s="95"/>
      <c r="V34" s="96"/>
      <c r="W34" s="119"/>
      <c r="X34" s="123"/>
    </row>
    <row r="35" spans="1:24" ht="15.75" thickBot="1">
      <c r="A35" s="28" t="s">
        <v>7</v>
      </c>
      <c r="B35" s="6" t="s">
        <v>17</v>
      </c>
      <c r="C35" s="10"/>
      <c r="D35" s="10"/>
      <c r="E35" s="10"/>
      <c r="N35" s="113"/>
      <c r="O35" s="125"/>
      <c r="P35" s="97"/>
      <c r="Q35" s="97"/>
      <c r="R35" s="97"/>
      <c r="S35" s="97"/>
      <c r="T35" s="97"/>
      <c r="U35" s="116"/>
      <c r="V35" s="117"/>
      <c r="W35" s="120"/>
      <c r="X35" s="124"/>
    </row>
    <row r="36" spans="1:5" ht="15">
      <c r="A36" s="8" t="s">
        <v>46</v>
      </c>
      <c r="B36" s="9">
        <v>22</v>
      </c>
      <c r="C36" s="10"/>
      <c r="D36" s="10"/>
      <c r="E36" s="10"/>
    </row>
    <row r="37" spans="1:24" ht="15">
      <c r="A37" s="10"/>
      <c r="B37" s="6" t="s">
        <v>17</v>
      </c>
      <c r="C37" s="6" t="s">
        <v>190</v>
      </c>
      <c r="D37" s="6" t="s">
        <v>191</v>
      </c>
      <c r="E37" s="6" t="s">
        <v>34</v>
      </c>
      <c r="N37" t="str">
        <f>'Summary Sheet'!C34</f>
        <v>Number of Beds  in Each Cluster</v>
      </c>
      <c r="O37">
        <f>'Summary Sheet'!D34</f>
        <v>3</v>
      </c>
      <c r="P37">
        <f aca="true" t="shared" si="0" ref="P37:V37">SUMIF($O$3:$O$35,$O37,P$3:P$35)</f>
        <v>0</v>
      </c>
      <c r="Q37">
        <f t="shared" si="0"/>
        <v>0</v>
      </c>
      <c r="R37">
        <f t="shared" si="0"/>
        <v>0</v>
      </c>
      <c r="S37">
        <f t="shared" si="0"/>
        <v>0</v>
      </c>
      <c r="T37">
        <f t="shared" si="0"/>
        <v>0</v>
      </c>
      <c r="U37">
        <f t="shared" si="0"/>
        <v>0</v>
      </c>
      <c r="V37">
        <f t="shared" si="0"/>
        <v>0</v>
      </c>
      <c r="W37" s="21">
        <f>_xlfn.IFERROR(V37/P37,"")</f>
      </c>
      <c r="X37" s="21">
        <f>_xlfn.IFERROR(V37/U37,"")</f>
      </c>
    </row>
    <row r="38" spans="1:24" ht="15">
      <c r="A38" s="6" t="s">
        <v>8</v>
      </c>
      <c r="B38" s="9">
        <v>132</v>
      </c>
      <c r="C38" s="9"/>
      <c r="D38" s="9"/>
      <c r="E38" s="9"/>
      <c r="N38">
        <f>'Summary Sheet'!C35</f>
        <v>0</v>
      </c>
      <c r="O38">
        <f>'Summary Sheet'!D35</f>
        <v>4</v>
      </c>
      <c r="P38">
        <f>SUMIF($O$3:O36,O38,$P$3:$P$35)</f>
        <v>0</v>
      </c>
      <c r="Q38">
        <f aca="true" t="shared" si="1" ref="Q38:V44">SUMIF($O$3:$O$35,$O38,Q$3:Q$35)</f>
        <v>0</v>
      </c>
      <c r="R38">
        <f t="shared" si="1"/>
        <v>0</v>
      </c>
      <c r="S38">
        <f t="shared" si="1"/>
        <v>0</v>
      </c>
      <c r="T38">
        <f t="shared" si="1"/>
        <v>0</v>
      </c>
      <c r="U38">
        <f t="shared" si="1"/>
        <v>0</v>
      </c>
      <c r="V38">
        <f t="shared" si="1"/>
        <v>0</v>
      </c>
      <c r="W38" s="21">
        <f aca="true" t="shared" si="2" ref="W38:W44">_xlfn.IFERROR(V38/P38,"")</f>
      </c>
      <c r="X38" s="21">
        <f aca="true" t="shared" si="3" ref="X38:X44">_xlfn.IFERROR(V38/U38,"")</f>
      </c>
    </row>
    <row r="39" spans="1:24" ht="15">
      <c r="A39" s="6" t="s">
        <v>9</v>
      </c>
      <c r="B39" s="9">
        <v>110</v>
      </c>
      <c r="C39" s="9">
        <v>14</v>
      </c>
      <c r="D39" s="9"/>
      <c r="E39" s="9"/>
      <c r="N39">
        <f>'Summary Sheet'!C36</f>
        <v>0</v>
      </c>
      <c r="O39">
        <f>'Summary Sheet'!D36</f>
        <v>5</v>
      </c>
      <c r="P39">
        <f>SUMIF($O$3:O36,O39,$P$3:$P$35)</f>
        <v>245</v>
      </c>
      <c r="Q39">
        <f t="shared" si="1"/>
        <v>49</v>
      </c>
      <c r="R39">
        <f t="shared" si="1"/>
        <v>49</v>
      </c>
      <c r="S39">
        <f t="shared" si="1"/>
        <v>84</v>
      </c>
      <c r="T39">
        <f t="shared" si="1"/>
        <v>0</v>
      </c>
      <c r="U39">
        <f t="shared" si="1"/>
        <v>245</v>
      </c>
      <c r="V39">
        <f t="shared" si="1"/>
        <v>1372</v>
      </c>
      <c r="W39" s="21">
        <f t="shared" si="2"/>
        <v>5.6</v>
      </c>
      <c r="X39" s="21">
        <f t="shared" si="3"/>
        <v>5.6</v>
      </c>
    </row>
    <row r="40" spans="1:24" ht="15">
      <c r="A40" s="6" t="s">
        <v>10</v>
      </c>
      <c r="B40" s="9">
        <v>22</v>
      </c>
      <c r="C40" s="9">
        <v>22</v>
      </c>
      <c r="D40" s="9"/>
      <c r="E40" s="14"/>
      <c r="N40">
        <f>'Summary Sheet'!C37</f>
        <v>0</v>
      </c>
      <c r="O40">
        <f>'Summary Sheet'!D37</f>
        <v>6</v>
      </c>
      <c r="P40">
        <f>SUMIF($O$3:O36,O40,$P$3:$P$35)</f>
        <v>132</v>
      </c>
      <c r="Q40">
        <f t="shared" si="1"/>
        <v>22</v>
      </c>
      <c r="R40">
        <f t="shared" si="1"/>
        <v>22</v>
      </c>
      <c r="S40">
        <f t="shared" si="1"/>
        <v>28</v>
      </c>
      <c r="T40">
        <f t="shared" si="1"/>
        <v>0</v>
      </c>
      <c r="U40">
        <f t="shared" si="1"/>
        <v>132</v>
      </c>
      <c r="V40">
        <f t="shared" si="1"/>
        <v>616</v>
      </c>
      <c r="W40" s="21">
        <f t="shared" si="2"/>
        <v>4.666666666666667</v>
      </c>
      <c r="X40" s="27">
        <f t="shared" si="3"/>
        <v>4.666666666666667</v>
      </c>
    </row>
    <row r="41" spans="1:24" ht="15">
      <c r="A41" s="6" t="s">
        <v>11</v>
      </c>
      <c r="B41" s="9"/>
      <c r="C41" s="9"/>
      <c r="D41" s="9"/>
      <c r="E41" s="9"/>
      <c r="N41">
        <f>'Summary Sheet'!C38</f>
        <v>0</v>
      </c>
      <c r="O41">
        <f>'Summary Sheet'!D38</f>
        <v>7</v>
      </c>
      <c r="P41">
        <f>SUMIF($O$3:O36,O41,$P$3:$P$35)</f>
        <v>0</v>
      </c>
      <c r="Q41">
        <f t="shared" si="1"/>
        <v>0</v>
      </c>
      <c r="R41">
        <f t="shared" si="1"/>
        <v>0</v>
      </c>
      <c r="S41">
        <f t="shared" si="1"/>
        <v>0</v>
      </c>
      <c r="T41">
        <f t="shared" si="1"/>
        <v>0</v>
      </c>
      <c r="U41">
        <f t="shared" si="1"/>
        <v>0</v>
      </c>
      <c r="V41">
        <f t="shared" si="1"/>
        <v>0</v>
      </c>
      <c r="W41" s="21">
        <f t="shared" si="2"/>
      </c>
      <c r="X41" s="21">
        <f t="shared" si="3"/>
      </c>
    </row>
    <row r="42" spans="1:24" ht="15">
      <c r="A42" s="6" t="s">
        <v>12</v>
      </c>
      <c r="B42" s="9"/>
      <c r="C42" s="9"/>
      <c r="D42" s="9"/>
      <c r="E42" s="9"/>
      <c r="N42">
        <f>'Summary Sheet'!C39</f>
        <v>0</v>
      </c>
      <c r="O42">
        <f>'Summary Sheet'!D39</f>
        <v>8</v>
      </c>
      <c r="P42">
        <f>SUMIF($O$3:O36,O42,$P$3:$P$35)</f>
        <v>0</v>
      </c>
      <c r="Q42">
        <f t="shared" si="1"/>
        <v>0</v>
      </c>
      <c r="R42">
        <f t="shared" si="1"/>
        <v>0</v>
      </c>
      <c r="S42">
        <f t="shared" si="1"/>
        <v>0</v>
      </c>
      <c r="T42">
        <f t="shared" si="1"/>
        <v>0</v>
      </c>
      <c r="U42">
        <f t="shared" si="1"/>
        <v>0</v>
      </c>
      <c r="V42">
        <f t="shared" si="1"/>
        <v>0</v>
      </c>
      <c r="W42" s="21">
        <f t="shared" si="2"/>
      </c>
      <c r="X42" s="21">
        <f t="shared" si="3"/>
      </c>
    </row>
    <row r="43" spans="1:24" ht="15">
      <c r="A43" s="6" t="s">
        <v>13</v>
      </c>
      <c r="B43" s="9"/>
      <c r="C43" s="9"/>
      <c r="D43" s="9"/>
      <c r="E43" s="9"/>
      <c r="N43">
        <f>'Summary Sheet'!C40</f>
        <v>0</v>
      </c>
      <c r="O43">
        <f>'Summary Sheet'!D40</f>
        <v>9</v>
      </c>
      <c r="P43">
        <f>SUMIF($O$3:O36,O43,$P$3:$P$35)</f>
        <v>0</v>
      </c>
      <c r="Q43">
        <f t="shared" si="1"/>
        <v>0</v>
      </c>
      <c r="R43">
        <f t="shared" si="1"/>
        <v>0</v>
      </c>
      <c r="S43">
        <f t="shared" si="1"/>
        <v>0</v>
      </c>
      <c r="T43">
        <f t="shared" si="1"/>
        <v>0</v>
      </c>
      <c r="U43">
        <f t="shared" si="1"/>
        <v>0</v>
      </c>
      <c r="V43">
        <f t="shared" si="1"/>
        <v>0</v>
      </c>
      <c r="W43" s="21">
        <f t="shared" si="2"/>
      </c>
      <c r="X43" s="21">
        <f t="shared" si="3"/>
      </c>
    </row>
    <row r="44" spans="1:24" ht="15">
      <c r="A44" s="6" t="s">
        <v>14</v>
      </c>
      <c r="B44" s="9"/>
      <c r="C44" s="9"/>
      <c r="D44" s="9"/>
      <c r="E44" s="9"/>
      <c r="N44">
        <f>'Summary Sheet'!C41</f>
        <v>0</v>
      </c>
      <c r="O44">
        <f>'Summary Sheet'!D41</f>
        <v>10</v>
      </c>
      <c r="P44">
        <f>SUMIF($O$3:O36,O44,$P$3:$P$35)</f>
        <v>0</v>
      </c>
      <c r="Q44">
        <f t="shared" si="1"/>
        <v>0</v>
      </c>
      <c r="R44">
        <f t="shared" si="1"/>
        <v>0</v>
      </c>
      <c r="S44">
        <f t="shared" si="1"/>
        <v>0</v>
      </c>
      <c r="T44">
        <f t="shared" si="1"/>
        <v>0</v>
      </c>
      <c r="U44">
        <f t="shared" si="1"/>
        <v>0</v>
      </c>
      <c r="V44">
        <f t="shared" si="1"/>
        <v>0</v>
      </c>
      <c r="W44" s="21">
        <f t="shared" si="2"/>
      </c>
      <c r="X44" s="21">
        <f t="shared" si="3"/>
      </c>
    </row>
    <row r="45" spans="1:5" ht="15">
      <c r="A45" s="10"/>
      <c r="B45" s="6" t="s">
        <v>17</v>
      </c>
      <c r="C45" s="6" t="s">
        <v>18</v>
      </c>
      <c r="D45" s="10"/>
      <c r="E45" s="10"/>
    </row>
    <row r="46" spans="1:5" ht="15">
      <c r="A46" s="6" t="s">
        <v>16</v>
      </c>
      <c r="B46" s="9">
        <v>22</v>
      </c>
      <c r="C46" s="9">
        <v>28</v>
      </c>
      <c r="D46" s="10"/>
      <c r="E46" s="10"/>
    </row>
    <row r="47" spans="1:5" ht="15">
      <c r="A47" s="6" t="s">
        <v>15</v>
      </c>
      <c r="B47" s="9"/>
      <c r="C47" s="9"/>
      <c r="D47" s="10"/>
      <c r="E47" s="10"/>
    </row>
    <row r="50" spans="1:5" ht="15">
      <c r="A50" s="28" t="s">
        <v>7</v>
      </c>
      <c r="B50" s="6" t="s">
        <v>17</v>
      </c>
      <c r="C50" s="10"/>
      <c r="D50" s="10"/>
      <c r="E50" s="10"/>
    </row>
    <row r="51" spans="1:5" ht="15">
      <c r="A51" s="8" t="s">
        <v>47</v>
      </c>
      <c r="B51" s="9">
        <v>10</v>
      </c>
      <c r="C51" s="10"/>
      <c r="D51" s="10"/>
      <c r="E51" s="10"/>
    </row>
    <row r="52" spans="1:5" ht="15">
      <c r="A52" s="10"/>
      <c r="B52" s="6" t="s">
        <v>17</v>
      </c>
      <c r="C52" s="6" t="s">
        <v>190</v>
      </c>
      <c r="D52" s="6" t="s">
        <v>191</v>
      </c>
      <c r="E52" s="6" t="s">
        <v>34</v>
      </c>
    </row>
    <row r="53" spans="1:5" ht="15">
      <c r="A53" s="6" t="s">
        <v>8</v>
      </c>
      <c r="B53" s="9">
        <v>50</v>
      </c>
      <c r="C53" s="9"/>
      <c r="D53" s="9"/>
      <c r="E53" s="9"/>
    </row>
    <row r="54" spans="1:5" ht="15">
      <c r="A54" s="6" t="s">
        <v>9</v>
      </c>
      <c r="B54" s="9">
        <v>50</v>
      </c>
      <c r="C54" s="9">
        <v>14</v>
      </c>
      <c r="D54" s="9"/>
      <c r="E54" s="9"/>
    </row>
    <row r="55" spans="1:5" ht="15">
      <c r="A55" s="6" t="s">
        <v>10</v>
      </c>
      <c r="B55" s="9"/>
      <c r="C55" s="9"/>
      <c r="D55" s="9"/>
      <c r="E55" s="9"/>
    </row>
    <row r="56" spans="1:5" ht="15">
      <c r="A56" s="6" t="s">
        <v>11</v>
      </c>
      <c r="B56" s="9"/>
      <c r="C56" s="9"/>
      <c r="D56" s="9"/>
      <c r="E56" s="9"/>
    </row>
    <row r="57" spans="1:5" ht="15">
      <c r="A57" s="6" t="s">
        <v>12</v>
      </c>
      <c r="B57" s="9"/>
      <c r="C57" s="9"/>
      <c r="D57" s="9"/>
      <c r="E57" s="9"/>
    </row>
    <row r="58" spans="1:5" ht="15">
      <c r="A58" s="6" t="s">
        <v>13</v>
      </c>
      <c r="B58" s="9"/>
      <c r="C58" s="9"/>
      <c r="D58" s="9"/>
      <c r="E58" s="9"/>
    </row>
    <row r="59" spans="1:5" ht="15">
      <c r="A59" s="6" t="s">
        <v>14</v>
      </c>
      <c r="B59" s="9"/>
      <c r="C59" s="9"/>
      <c r="D59" s="9"/>
      <c r="E59" s="9"/>
    </row>
    <row r="60" spans="1:5" ht="15">
      <c r="A60" s="10"/>
      <c r="B60" s="6" t="s">
        <v>17</v>
      </c>
      <c r="C60" s="6" t="s">
        <v>18</v>
      </c>
      <c r="D60" s="10"/>
      <c r="E60" s="10"/>
    </row>
    <row r="61" spans="1:5" ht="15">
      <c r="A61" s="6" t="s">
        <v>16</v>
      </c>
      <c r="B61" s="9">
        <v>10</v>
      </c>
      <c r="C61" s="9">
        <v>28</v>
      </c>
      <c r="D61" s="10"/>
      <c r="E61" s="10"/>
    </row>
    <row r="62" spans="1:5" ht="15">
      <c r="A62" s="6" t="s">
        <v>15</v>
      </c>
      <c r="B62" s="9"/>
      <c r="C62" s="9"/>
      <c r="D62" s="10"/>
      <c r="E62" s="10"/>
    </row>
    <row r="80" spans="1:5" ht="15">
      <c r="A80" s="16"/>
      <c r="B80" s="15"/>
      <c r="C80" s="3"/>
      <c r="D80" s="3"/>
      <c r="E80" s="3"/>
    </row>
    <row r="81" spans="1:5" ht="15">
      <c r="A81" s="17"/>
      <c r="B81" s="18"/>
      <c r="C81" s="3"/>
      <c r="D81" s="3"/>
      <c r="E81" s="3"/>
    </row>
    <row r="82" spans="1:5" ht="15">
      <c r="A82" s="3"/>
      <c r="B82" s="15"/>
      <c r="C82" s="15"/>
      <c r="D82" s="15"/>
      <c r="E82" s="15"/>
    </row>
    <row r="83" spans="1:5" ht="15">
      <c r="A83" s="15"/>
      <c r="B83" s="18"/>
      <c r="C83" s="18"/>
      <c r="D83" s="18"/>
      <c r="E83" s="18"/>
    </row>
    <row r="84" spans="1:5" ht="15">
      <c r="A84" s="15"/>
      <c r="B84" s="18"/>
      <c r="C84" s="18"/>
      <c r="D84" s="18"/>
      <c r="E84" s="18"/>
    </row>
    <row r="85" spans="1:5" ht="15">
      <c r="A85" s="15"/>
      <c r="B85" s="18"/>
      <c r="C85" s="18"/>
      <c r="D85" s="18"/>
      <c r="E85" s="18"/>
    </row>
    <row r="86" spans="1:5" ht="15">
      <c r="A86" s="15"/>
      <c r="B86" s="18"/>
      <c r="C86" s="18"/>
      <c r="D86" s="18"/>
      <c r="E86" s="18"/>
    </row>
    <row r="87" spans="1:5" ht="15">
      <c r="A87" s="15"/>
      <c r="B87" s="18"/>
      <c r="C87" s="18"/>
      <c r="D87" s="18"/>
      <c r="E87" s="18"/>
    </row>
    <row r="88" spans="1:5" ht="15">
      <c r="A88" s="15"/>
      <c r="B88" s="18"/>
      <c r="C88" s="18"/>
      <c r="D88" s="18"/>
      <c r="E88" s="18"/>
    </row>
    <row r="89" spans="1:5" ht="15">
      <c r="A89" s="15"/>
      <c r="B89" s="18"/>
      <c r="C89" s="18"/>
      <c r="D89" s="18"/>
      <c r="E89" s="18"/>
    </row>
    <row r="90" spans="1:5" ht="15">
      <c r="A90" s="3"/>
      <c r="B90" s="15"/>
      <c r="C90" s="15"/>
      <c r="D90" s="3"/>
      <c r="E90" s="3"/>
    </row>
    <row r="91" spans="1:5" ht="15">
      <c r="A91" s="15"/>
      <c r="B91" s="18"/>
      <c r="C91" s="18"/>
      <c r="D91" s="3"/>
      <c r="E91" s="3"/>
    </row>
    <row r="92" spans="1:5" ht="15">
      <c r="A92" s="15"/>
      <c r="B92" s="18"/>
      <c r="C92" s="18"/>
      <c r="D92" s="3"/>
      <c r="E92" s="3"/>
    </row>
    <row r="95" spans="1:5" ht="15">
      <c r="A95" s="16"/>
      <c r="B95" s="15"/>
      <c r="C95" s="3"/>
      <c r="D95" s="3"/>
      <c r="E95" s="3"/>
    </row>
    <row r="96" spans="1:5" ht="15">
      <c r="A96" s="17"/>
      <c r="B96" s="18"/>
      <c r="C96" s="3"/>
      <c r="D96" s="3"/>
      <c r="E96" s="3"/>
    </row>
    <row r="97" spans="1:5" ht="15">
      <c r="A97" s="3"/>
      <c r="B97" s="15"/>
      <c r="C97" s="15"/>
      <c r="D97" s="15"/>
      <c r="E97" s="15"/>
    </row>
    <row r="98" spans="1:5" ht="15">
      <c r="A98" s="15"/>
      <c r="B98" s="18"/>
      <c r="C98" s="18"/>
      <c r="D98" s="18"/>
      <c r="E98" s="18"/>
    </row>
    <row r="99" spans="1:5" ht="15">
      <c r="A99" s="15"/>
      <c r="B99" s="18"/>
      <c r="C99" s="18"/>
      <c r="D99" s="18"/>
      <c r="E99" s="18"/>
    </row>
    <row r="100" spans="1:5" ht="15">
      <c r="A100" s="15"/>
      <c r="B100" s="18"/>
      <c r="C100" s="18"/>
      <c r="D100" s="18"/>
      <c r="E100" s="18"/>
    </row>
    <row r="101" spans="1:5" ht="15">
      <c r="A101" s="15"/>
      <c r="B101" s="18"/>
      <c r="C101" s="18"/>
      <c r="D101" s="18"/>
      <c r="E101" s="18"/>
    </row>
    <row r="102" spans="1:5" ht="15">
      <c r="A102" s="15"/>
      <c r="B102" s="18"/>
      <c r="C102" s="18"/>
      <c r="D102" s="18"/>
      <c r="E102" s="18"/>
    </row>
    <row r="103" spans="1:5" ht="15">
      <c r="A103" s="15"/>
      <c r="B103" s="18"/>
      <c r="C103" s="18"/>
      <c r="D103" s="18"/>
      <c r="E103" s="18"/>
    </row>
    <row r="104" spans="1:5" ht="15">
      <c r="A104" s="15"/>
      <c r="B104" s="18"/>
      <c r="C104" s="18"/>
      <c r="D104" s="18"/>
      <c r="E104" s="18"/>
    </row>
    <row r="105" spans="1:5" ht="15">
      <c r="A105" s="3"/>
      <c r="B105" s="15"/>
      <c r="C105" s="15"/>
      <c r="D105" s="3"/>
      <c r="E105" s="3"/>
    </row>
    <row r="106" spans="1:5" ht="15">
      <c r="A106" s="15"/>
      <c r="B106" s="18"/>
      <c r="C106" s="18"/>
      <c r="D106" s="3"/>
      <c r="E106" s="3"/>
    </row>
    <row r="107" spans="1:5" ht="15">
      <c r="A107" s="15"/>
      <c r="B107" s="18"/>
      <c r="C107" s="18"/>
      <c r="D107" s="3"/>
      <c r="E107" s="3"/>
    </row>
  </sheetData>
  <sheetProtection/>
  <printOptions/>
  <pageMargins left="0.7" right="0.7" top="0.75" bottom="0.75" header="0.3" footer="0.3"/>
  <pageSetup horizontalDpi="600" verticalDpi="600" orientation="landscape" paperSize="9" scale="81" r:id="rId1"/>
  <rowBreaks count="1" manualBreakCount="1">
    <brk id="33" max="255" man="1"/>
  </rowBreaks>
  <colBreaks count="2" manualBreakCount="2">
    <brk id="6" max="65535" man="1"/>
    <brk id="13" max="61" man="1"/>
  </colBreaks>
</worksheet>
</file>

<file path=xl/worksheets/sheet14.xml><?xml version="1.0" encoding="utf-8"?>
<worksheet xmlns="http://schemas.openxmlformats.org/spreadsheetml/2006/main" xmlns:r="http://schemas.openxmlformats.org/officeDocument/2006/relationships">
  <sheetPr>
    <tabColor theme="9"/>
  </sheetPr>
  <dimension ref="A1:X43"/>
  <sheetViews>
    <sheetView view="pageBreakPreview" zoomScale="60" zoomScaleNormal="85" zoomScalePageLayoutView="0" workbookViewId="0" topLeftCell="A1">
      <selection activeCell="AB6" sqref="AB6"/>
    </sheetView>
  </sheetViews>
  <sheetFormatPr defaultColWidth="9.140625" defaultRowHeight="15"/>
  <cols>
    <col min="1" max="1" width="31.57421875" style="0" customWidth="1"/>
    <col min="2" max="2" width="12.28125" style="0" customWidth="1"/>
    <col min="3" max="3" width="20.140625" style="0" bestFit="1" customWidth="1"/>
    <col min="4" max="4" width="26.28125" style="0" bestFit="1" customWidth="1"/>
    <col min="5" max="5" width="17.00390625" style="0" bestFit="1" customWidth="1"/>
    <col min="8" max="8" width="12.140625" style="0" customWidth="1"/>
    <col min="9" max="9" width="7.00390625" style="0" bestFit="1" customWidth="1"/>
    <col min="10" max="10" width="7.00390625" style="0" customWidth="1"/>
    <col min="11" max="11" width="73.7109375" style="0" bestFit="1" customWidth="1"/>
    <col min="12" max="12" width="13.00390625" style="0" customWidth="1"/>
    <col min="14" max="14" width="24.421875" style="0" customWidth="1"/>
    <col min="18" max="18" width="12.7109375" style="0" bestFit="1" customWidth="1"/>
    <col min="19" max="19" width="12.57421875" style="0" bestFit="1" customWidth="1"/>
    <col min="20" max="21" width="15.421875" style="0" bestFit="1" customWidth="1"/>
    <col min="22" max="22" width="12.7109375" style="0" bestFit="1" customWidth="1"/>
    <col min="23" max="23" width="14.421875" style="0" bestFit="1" customWidth="1"/>
    <col min="24" max="24" width="15.421875" style="0" bestFit="1" customWidth="1"/>
  </cols>
  <sheetData>
    <row r="1" spans="1:2" ht="15.75" thickBot="1">
      <c r="A1" s="6" t="s">
        <v>19</v>
      </c>
      <c r="B1" s="10"/>
    </row>
    <row r="2" spans="1:24" ht="75">
      <c r="A2" s="7" t="s">
        <v>2</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0</v>
      </c>
      <c r="N3" s="114" t="s">
        <v>156</v>
      </c>
      <c r="O3" s="107">
        <f>P3/Q3</f>
        <v>5.5</v>
      </c>
      <c r="P3" s="98">
        <f>B10</f>
        <v>242</v>
      </c>
      <c r="Q3" s="98">
        <f>B8</f>
        <v>44</v>
      </c>
      <c r="R3" s="98">
        <f>B18</f>
        <v>44</v>
      </c>
      <c r="S3" s="98">
        <f>C18</f>
        <v>31</v>
      </c>
      <c r="T3" s="98">
        <f>B12</f>
        <v>11</v>
      </c>
      <c r="U3" s="99">
        <f>P3-T3</f>
        <v>231</v>
      </c>
      <c r="V3" s="100">
        <f>R3*S3</f>
        <v>1364</v>
      </c>
      <c r="W3" s="118">
        <f>V3/P3</f>
        <v>5.636363636363637</v>
      </c>
      <c r="X3" s="121">
        <f>V3/U3</f>
        <v>5.904761904761905</v>
      </c>
    </row>
    <row r="4" spans="14:24" ht="15">
      <c r="N4" s="115"/>
      <c r="O4" s="108"/>
      <c r="P4" s="94"/>
      <c r="Q4" s="94"/>
      <c r="R4" s="94"/>
      <c r="S4" s="94"/>
      <c r="T4" s="94"/>
      <c r="U4" s="95"/>
      <c r="V4" s="96"/>
      <c r="W4" s="119"/>
      <c r="X4" s="122"/>
    </row>
    <row r="5" spans="11:24" ht="15">
      <c r="K5" s="20" t="str">
        <f>'Summary Sheet'!C6</f>
        <v>General Communal Area</v>
      </c>
      <c r="L5" s="182">
        <f>B3</f>
        <v>0</v>
      </c>
      <c r="N5" s="115"/>
      <c r="O5" s="108"/>
      <c r="P5" s="94"/>
      <c r="Q5" s="94"/>
      <c r="R5" s="94"/>
      <c r="S5" s="94"/>
      <c r="T5" s="94"/>
      <c r="U5" s="95"/>
      <c r="V5" s="96"/>
      <c r="W5" s="119"/>
      <c r="X5" s="123"/>
    </row>
    <row r="6" spans="11:24" ht="15">
      <c r="K6" s="20" t="str">
        <f>'Summary Sheet'!C7</f>
        <v>Kitchen / Dining / Living Area (Shared Internal Area)</v>
      </c>
      <c r="L6" s="182">
        <f>B18*C18</f>
        <v>1364</v>
      </c>
      <c r="N6" s="115"/>
      <c r="O6" s="108"/>
      <c r="P6" s="94"/>
      <c r="Q6" s="94"/>
      <c r="R6" s="94"/>
      <c r="S6" s="94"/>
      <c r="T6" s="94"/>
      <c r="U6" s="95"/>
      <c r="V6" s="96"/>
      <c r="W6" s="119"/>
      <c r="X6" s="123"/>
    </row>
    <row r="7" spans="1:24" ht="15">
      <c r="A7" s="28" t="s">
        <v>7</v>
      </c>
      <c r="B7" s="6" t="s">
        <v>17</v>
      </c>
      <c r="C7" s="10"/>
      <c r="D7" s="10"/>
      <c r="E7" s="10"/>
      <c r="G7" s="6" t="s">
        <v>21</v>
      </c>
      <c r="H7" s="6" t="s">
        <v>17</v>
      </c>
      <c r="I7" s="6" t="s">
        <v>18</v>
      </c>
      <c r="K7" s="20" t="str">
        <f>'Summary Sheet'!C8</f>
        <v>Total Communal Area</v>
      </c>
      <c r="L7" s="185">
        <f>SUM(L5:L6)</f>
        <v>1364</v>
      </c>
      <c r="N7" s="115"/>
      <c r="O7" s="108"/>
      <c r="P7" s="94"/>
      <c r="Q7" s="94"/>
      <c r="R7" s="94"/>
      <c r="S7" s="94"/>
      <c r="T7" s="94"/>
      <c r="U7" s="95"/>
      <c r="V7" s="96"/>
      <c r="W7" s="119"/>
      <c r="X7" s="123"/>
    </row>
    <row r="8" spans="1:24" ht="15">
      <c r="A8" s="8" t="s">
        <v>137</v>
      </c>
      <c r="B8" s="9">
        <v>44</v>
      </c>
      <c r="C8" s="10"/>
      <c r="D8" s="10"/>
      <c r="E8" s="10"/>
      <c r="G8" s="6" t="s">
        <v>22</v>
      </c>
      <c r="H8" s="11">
        <v>21</v>
      </c>
      <c r="I8" s="11">
        <v>23</v>
      </c>
      <c r="K8" s="20"/>
      <c r="L8" s="182"/>
      <c r="N8" s="115"/>
      <c r="O8" s="108"/>
      <c r="P8" s="94"/>
      <c r="Q8" s="94"/>
      <c r="R8" s="94"/>
      <c r="S8" s="94"/>
      <c r="T8" s="94"/>
      <c r="U8" s="95"/>
      <c r="V8" s="96"/>
      <c r="W8" s="119"/>
      <c r="X8" s="123"/>
    </row>
    <row r="9" spans="1:24" ht="15">
      <c r="A9" s="10"/>
      <c r="B9" s="6" t="s">
        <v>17</v>
      </c>
      <c r="C9" s="6" t="s">
        <v>190</v>
      </c>
      <c r="D9" s="6" t="s">
        <v>191</v>
      </c>
      <c r="E9" s="6" t="s">
        <v>34</v>
      </c>
      <c r="G9" s="6" t="s">
        <v>23</v>
      </c>
      <c r="H9" s="11"/>
      <c r="I9" s="11"/>
      <c r="K9" s="20"/>
      <c r="L9" s="182"/>
      <c r="N9" s="115"/>
      <c r="O9" s="108"/>
      <c r="P9" s="94"/>
      <c r="Q9" s="94"/>
      <c r="R9" s="94"/>
      <c r="S9" s="94"/>
      <c r="T9" s="94"/>
      <c r="U9" s="95"/>
      <c r="V9" s="96"/>
      <c r="W9" s="119"/>
      <c r="X9" s="123"/>
    </row>
    <row r="10" spans="1:24" ht="15">
      <c r="A10" s="6" t="s">
        <v>8</v>
      </c>
      <c r="B10" s="9">
        <v>242</v>
      </c>
      <c r="C10" s="9"/>
      <c r="D10" s="9"/>
      <c r="E10" s="9"/>
      <c r="G10" s="6" t="s">
        <v>24</v>
      </c>
      <c r="H10" s="11"/>
      <c r="I10" s="11"/>
      <c r="K10" s="20" t="str">
        <f>'Summary Sheet'!C10</f>
        <v>Number of Bedrooms (cluster &amp; studio) (non Accessible)</v>
      </c>
      <c r="L10" s="6">
        <f>B11+B13+H8</f>
        <v>252</v>
      </c>
      <c r="N10" s="115"/>
      <c r="O10" s="108"/>
      <c r="P10" s="94"/>
      <c r="Q10" s="94"/>
      <c r="R10" s="94"/>
      <c r="S10" s="94"/>
      <c r="T10" s="94"/>
      <c r="U10" s="95"/>
      <c r="V10" s="96"/>
      <c r="W10" s="119"/>
      <c r="X10" s="123"/>
    </row>
    <row r="11" spans="1:24" ht="15">
      <c r="A11" s="6" t="s">
        <v>9</v>
      </c>
      <c r="B11" s="9">
        <v>220</v>
      </c>
      <c r="C11" s="9">
        <v>12</v>
      </c>
      <c r="D11" s="9"/>
      <c r="E11" s="9"/>
      <c r="G11" s="6" t="s">
        <v>25</v>
      </c>
      <c r="H11" s="11"/>
      <c r="I11" s="11"/>
      <c r="K11" s="20" t="str">
        <f>'Summary Sheet'!C11</f>
        <v>Total Area of Bedrooms (cluster &amp; studio) (non Accessible)</v>
      </c>
      <c r="L11" s="182">
        <f>(B11*C11)+(B13*C13)+(H8*I8)</f>
        <v>3288</v>
      </c>
      <c r="N11" s="115"/>
      <c r="O11" s="108"/>
      <c r="P11" s="94"/>
      <c r="Q11" s="94"/>
      <c r="R11" s="94"/>
      <c r="S11" s="94"/>
      <c r="T11" s="94"/>
      <c r="U11" s="96"/>
      <c r="V11" s="96"/>
      <c r="W11" s="119"/>
      <c r="X11" s="123"/>
    </row>
    <row r="12" spans="1:24" ht="15">
      <c r="A12" s="6" t="s">
        <v>10</v>
      </c>
      <c r="B12" s="9">
        <v>11</v>
      </c>
      <c r="C12" s="9">
        <v>19</v>
      </c>
      <c r="D12" s="9"/>
      <c r="E12" s="9" t="s">
        <v>35</v>
      </c>
      <c r="G12" s="6" t="s">
        <v>26</v>
      </c>
      <c r="H12" s="11"/>
      <c r="I12" s="11"/>
      <c r="K12" s="20" t="str">
        <f>'Summary Sheet'!C12</f>
        <v>Average size of Bedroom (cluster &amp; studio) (non Accessible)</v>
      </c>
      <c r="L12" s="185">
        <f>L11/L10</f>
        <v>13.047619047619047</v>
      </c>
      <c r="N12" s="115"/>
      <c r="O12" s="108"/>
      <c r="P12" s="94"/>
      <c r="Q12" s="94"/>
      <c r="R12" s="94"/>
      <c r="S12" s="94"/>
      <c r="T12" s="94"/>
      <c r="U12" s="95"/>
      <c r="V12" s="96"/>
      <c r="W12" s="119"/>
      <c r="X12" s="123"/>
    </row>
    <row r="13" spans="1:24" ht="15">
      <c r="A13" s="6" t="s">
        <v>11</v>
      </c>
      <c r="B13" s="9">
        <v>11</v>
      </c>
      <c r="C13" s="9">
        <v>15</v>
      </c>
      <c r="D13" s="9"/>
      <c r="E13" s="9"/>
      <c r="G13" s="6" t="s">
        <v>27</v>
      </c>
      <c r="H13" s="11"/>
      <c r="I13" s="11"/>
      <c r="K13" s="20"/>
      <c r="L13" s="185"/>
      <c r="N13" s="115"/>
      <c r="O13" s="108"/>
      <c r="P13" s="94"/>
      <c r="Q13" s="94"/>
      <c r="R13" s="94"/>
      <c r="S13" s="94"/>
      <c r="T13" s="94"/>
      <c r="U13" s="95"/>
      <c r="V13" s="96"/>
      <c r="W13" s="119"/>
      <c r="X13" s="123"/>
    </row>
    <row r="14" spans="1:24" ht="15">
      <c r="A14" s="6" t="s">
        <v>12</v>
      </c>
      <c r="B14" s="9"/>
      <c r="C14" s="9"/>
      <c r="D14" s="9"/>
      <c r="E14" s="9"/>
      <c r="G14" s="6" t="s">
        <v>28</v>
      </c>
      <c r="H14" s="11"/>
      <c r="I14" s="11"/>
      <c r="K14" s="20" t="str">
        <f>'Summary Sheet'!C14</f>
        <v>Number of Cluster Bedrooms (non Accessible)</v>
      </c>
      <c r="L14" s="186">
        <f>B11+B13</f>
        <v>231</v>
      </c>
      <c r="N14" s="115"/>
      <c r="O14" s="108"/>
      <c r="P14" s="94"/>
      <c r="Q14" s="94"/>
      <c r="R14" s="94"/>
      <c r="S14" s="94"/>
      <c r="T14" s="94"/>
      <c r="U14" s="95"/>
      <c r="V14" s="96"/>
      <c r="W14" s="119"/>
      <c r="X14" s="123"/>
    </row>
    <row r="15" spans="1:24" ht="15">
      <c r="A15" s="6" t="s">
        <v>13</v>
      </c>
      <c r="B15" s="9"/>
      <c r="C15" s="9"/>
      <c r="D15" s="9"/>
      <c r="E15" s="9"/>
      <c r="G15" s="6" t="s">
        <v>29</v>
      </c>
      <c r="H15" s="11"/>
      <c r="I15" s="11"/>
      <c r="K15" s="20" t="str">
        <f>'Summary Sheet'!C15</f>
        <v>Total Area of Cluster Bedrooms (non Accessible)</v>
      </c>
      <c r="L15" s="6">
        <f>(B11*C11)+(B13*C13)</f>
        <v>2805</v>
      </c>
      <c r="N15" s="115"/>
      <c r="O15" s="108"/>
      <c r="P15" s="94"/>
      <c r="Q15" s="94"/>
      <c r="R15" s="94"/>
      <c r="S15" s="94"/>
      <c r="T15" s="94"/>
      <c r="U15" s="95"/>
      <c r="V15" s="96"/>
      <c r="W15" s="119"/>
      <c r="X15" s="123"/>
    </row>
    <row r="16" spans="1:24" ht="15">
      <c r="A16" s="6" t="s">
        <v>14</v>
      </c>
      <c r="B16" s="9"/>
      <c r="C16" s="9"/>
      <c r="D16" s="9"/>
      <c r="E16" s="9"/>
      <c r="G16" s="6" t="s">
        <v>30</v>
      </c>
      <c r="H16" s="11"/>
      <c r="I16" s="11"/>
      <c r="K16" s="20" t="str">
        <f>'Summary Sheet'!C16</f>
        <v>Average Size of Cluster Bedroom (non Accessible)</v>
      </c>
      <c r="L16" s="187">
        <f>L15/L14</f>
        <v>12.142857142857142</v>
      </c>
      <c r="N16" s="115"/>
      <c r="O16" s="108"/>
      <c r="P16" s="94"/>
      <c r="Q16" s="94"/>
      <c r="R16" s="94"/>
      <c r="S16" s="94"/>
      <c r="T16" s="94"/>
      <c r="U16" s="95"/>
      <c r="V16" s="96"/>
      <c r="W16" s="119"/>
      <c r="X16" s="123"/>
    </row>
    <row r="17" spans="1:24" ht="15">
      <c r="A17" s="10"/>
      <c r="B17" s="6" t="s">
        <v>17</v>
      </c>
      <c r="C17" s="6" t="s">
        <v>18</v>
      </c>
      <c r="D17" s="10"/>
      <c r="E17" s="10"/>
      <c r="G17" s="6" t="s">
        <v>31</v>
      </c>
      <c r="H17" s="11"/>
      <c r="I17" s="11"/>
      <c r="K17" s="20"/>
      <c r="L17" s="188"/>
      <c r="N17" s="115"/>
      <c r="O17" s="108"/>
      <c r="P17" s="94"/>
      <c r="Q17" s="94"/>
      <c r="R17" s="94"/>
      <c r="S17" s="94"/>
      <c r="T17" s="94"/>
      <c r="U17" s="95"/>
      <c r="V17" s="96"/>
      <c r="W17" s="119"/>
      <c r="X17" s="123"/>
    </row>
    <row r="18" spans="1:24" ht="15">
      <c r="A18" s="6" t="s">
        <v>16</v>
      </c>
      <c r="B18" s="9">
        <v>44</v>
      </c>
      <c r="C18" s="9">
        <v>31</v>
      </c>
      <c r="D18" s="10"/>
      <c r="E18" s="10"/>
      <c r="G18" s="6" t="s">
        <v>32</v>
      </c>
      <c r="H18" s="11"/>
      <c r="I18" s="11"/>
      <c r="K18" s="20" t="str">
        <f>'Summary Sheet'!C18</f>
        <v>Number of Studio Bedspaces (non Accessible)</v>
      </c>
      <c r="L18" s="186">
        <f>H8</f>
        <v>21</v>
      </c>
      <c r="N18" s="115"/>
      <c r="O18" s="108"/>
      <c r="P18" s="94"/>
      <c r="Q18" s="94"/>
      <c r="R18" s="94"/>
      <c r="S18" s="94"/>
      <c r="T18" s="94"/>
      <c r="U18" s="95"/>
      <c r="V18" s="96"/>
      <c r="W18" s="119"/>
      <c r="X18" s="123"/>
    </row>
    <row r="19" spans="1:24" ht="15">
      <c r="A19" s="6" t="s">
        <v>15</v>
      </c>
      <c r="B19" s="9"/>
      <c r="C19" s="9"/>
      <c r="D19" s="10"/>
      <c r="E19" s="10"/>
      <c r="G19" s="6" t="s">
        <v>33</v>
      </c>
      <c r="H19" s="11"/>
      <c r="I19" s="11"/>
      <c r="K19" s="20" t="str">
        <f>'Summary Sheet'!C19</f>
        <v>Total Area of Studio Bedspace (non Accessible)</v>
      </c>
      <c r="L19" s="186">
        <f>H8*I8</f>
        <v>483</v>
      </c>
      <c r="N19" s="115"/>
      <c r="O19" s="108"/>
      <c r="P19" s="94"/>
      <c r="Q19" s="94"/>
      <c r="R19" s="94"/>
      <c r="S19" s="94"/>
      <c r="T19" s="94"/>
      <c r="U19" s="95"/>
      <c r="V19" s="96"/>
      <c r="W19" s="119"/>
      <c r="X19" s="123"/>
    </row>
    <row r="20" spans="11:24" ht="15">
      <c r="K20" s="20" t="str">
        <f>'Summary Sheet'!C20</f>
        <v>Average Size of Studio Bedspaces (non Accessible)</v>
      </c>
      <c r="L20" s="189">
        <f>L19/L18</f>
        <v>23</v>
      </c>
      <c r="N20" s="115"/>
      <c r="O20" s="108"/>
      <c r="P20" s="94"/>
      <c r="Q20" s="94"/>
      <c r="R20" s="94"/>
      <c r="S20" s="94"/>
      <c r="T20" s="94"/>
      <c r="U20" s="95"/>
      <c r="V20" s="96"/>
      <c r="W20" s="119"/>
      <c r="X20" s="123"/>
    </row>
    <row r="21" spans="11:24" ht="15">
      <c r="K21" s="20"/>
      <c r="L21" s="182"/>
      <c r="N21" s="115"/>
      <c r="O21" s="108"/>
      <c r="P21" s="94"/>
      <c r="Q21" s="94"/>
      <c r="R21" s="94"/>
      <c r="S21" s="94"/>
      <c r="T21" s="94"/>
      <c r="U21" s="95"/>
      <c r="V21" s="96"/>
      <c r="W21" s="119"/>
      <c r="X21" s="123"/>
    </row>
    <row r="22" spans="1:24" ht="15">
      <c r="A22" s="16"/>
      <c r="B22" s="15"/>
      <c r="C22" s="3"/>
      <c r="D22" s="3"/>
      <c r="E22" s="3"/>
      <c r="K22" s="6" t="str">
        <f>'Summary Sheet'!C24</f>
        <v>Total Number of Bedrooms Inc Accessible</v>
      </c>
      <c r="L22" s="6">
        <f>L10+B12</f>
        <v>263</v>
      </c>
      <c r="N22" s="115"/>
      <c r="O22" s="108"/>
      <c r="P22" s="94"/>
      <c r="Q22" s="94"/>
      <c r="R22" s="94"/>
      <c r="S22" s="94"/>
      <c r="T22" s="94"/>
      <c r="U22" s="95"/>
      <c r="V22" s="96"/>
      <c r="W22" s="119"/>
      <c r="X22" s="123"/>
    </row>
    <row r="23" spans="1:24" ht="15">
      <c r="A23" s="17"/>
      <c r="B23" s="18"/>
      <c r="C23" s="3"/>
      <c r="D23" s="3"/>
      <c r="E23" s="3"/>
      <c r="K23" s="6" t="str">
        <f>'Summary Sheet'!C26</f>
        <v>Number of Accessible Bedrooms</v>
      </c>
      <c r="L23" s="6">
        <f>L22-L10</f>
        <v>11</v>
      </c>
      <c r="N23" s="115"/>
      <c r="O23" s="108"/>
      <c r="P23" s="94"/>
      <c r="Q23" s="94"/>
      <c r="R23" s="94"/>
      <c r="S23" s="94"/>
      <c r="T23" s="94"/>
      <c r="U23" s="95"/>
      <c r="V23" s="96"/>
      <c r="W23" s="119"/>
      <c r="X23" s="123"/>
    </row>
    <row r="24" spans="1:24" ht="15">
      <c r="A24" s="3"/>
      <c r="B24" s="15"/>
      <c r="C24" s="15"/>
      <c r="D24" s="15"/>
      <c r="E24" s="15"/>
      <c r="K24" s="198" t="str">
        <f>'Summary Sheet'!C27</f>
        <v>Average Size of Accessible Bedroom</v>
      </c>
      <c r="L24" s="199">
        <f>(B12*C12)/L23</f>
        <v>19</v>
      </c>
      <c r="N24" s="115"/>
      <c r="O24" s="108"/>
      <c r="P24" s="94"/>
      <c r="Q24" s="94"/>
      <c r="R24" s="94"/>
      <c r="S24" s="94"/>
      <c r="T24" s="94"/>
      <c r="U24" s="95"/>
      <c r="V24" s="96"/>
      <c r="W24" s="119"/>
      <c r="X24" s="123"/>
    </row>
    <row r="25" spans="1:24" ht="15">
      <c r="A25" s="15"/>
      <c r="B25" s="18"/>
      <c r="C25" s="18"/>
      <c r="D25" s="18"/>
      <c r="E25" s="18"/>
      <c r="K25" s="201"/>
      <c r="L25" s="202"/>
      <c r="N25" s="115"/>
      <c r="O25" s="108"/>
      <c r="P25" s="94"/>
      <c r="Q25" s="94"/>
      <c r="R25" s="94"/>
      <c r="S25" s="94"/>
      <c r="T25" s="94"/>
      <c r="U25" s="95"/>
      <c r="V25" s="96"/>
      <c r="W25" s="119"/>
      <c r="X25" s="123"/>
    </row>
    <row r="26" spans="1:24" ht="15">
      <c r="A26" s="15"/>
      <c r="B26" s="18"/>
      <c r="C26" s="18"/>
      <c r="D26" s="18"/>
      <c r="E26" s="18"/>
      <c r="K26" s="12"/>
      <c r="L26" s="12"/>
      <c r="N26" s="115"/>
      <c r="O26" s="108"/>
      <c r="P26" s="94"/>
      <c r="Q26" s="94"/>
      <c r="R26" s="94"/>
      <c r="S26" s="94"/>
      <c r="T26" s="94"/>
      <c r="U26" s="95"/>
      <c r="V26" s="96"/>
      <c r="W26" s="119"/>
      <c r="X26" s="123"/>
    </row>
    <row r="27" spans="1:24" ht="15">
      <c r="A27" s="15"/>
      <c r="B27" s="18"/>
      <c r="C27" s="18"/>
      <c r="D27" s="18"/>
      <c r="E27" s="18"/>
      <c r="N27" s="115"/>
      <c r="O27" s="108"/>
      <c r="P27" s="94"/>
      <c r="Q27" s="94"/>
      <c r="R27" s="94"/>
      <c r="S27" s="94"/>
      <c r="T27" s="94"/>
      <c r="U27" s="95"/>
      <c r="V27" s="96"/>
      <c r="W27" s="119"/>
      <c r="X27" s="123"/>
    </row>
    <row r="28" spans="1:24" ht="15">
      <c r="A28" s="15"/>
      <c r="B28" s="18"/>
      <c r="C28" s="18"/>
      <c r="D28" s="3"/>
      <c r="E28" s="3"/>
      <c r="N28" s="112"/>
      <c r="O28" s="108"/>
      <c r="P28" s="94"/>
      <c r="Q28" s="94"/>
      <c r="R28" s="94"/>
      <c r="S28" s="94"/>
      <c r="T28" s="94"/>
      <c r="U28" s="95"/>
      <c r="V28" s="96"/>
      <c r="W28" s="119"/>
      <c r="X28" s="123"/>
    </row>
    <row r="29" spans="1:24" ht="15.75" thickBot="1">
      <c r="A29" s="3"/>
      <c r="B29" s="3"/>
      <c r="C29" s="3"/>
      <c r="D29" s="3"/>
      <c r="E29" s="3"/>
      <c r="N29" s="113"/>
      <c r="O29" s="125"/>
      <c r="P29" s="97"/>
      <c r="Q29" s="97"/>
      <c r="R29" s="97"/>
      <c r="S29" s="97"/>
      <c r="T29" s="97"/>
      <c r="U29" s="116"/>
      <c r="V29" s="117"/>
      <c r="W29" s="120"/>
      <c r="X29" s="124"/>
    </row>
    <row r="30" spans="1:5" ht="15">
      <c r="A30" s="3"/>
      <c r="B30" s="3"/>
      <c r="C30" s="3"/>
      <c r="D30" s="3"/>
      <c r="E30" s="3"/>
    </row>
    <row r="31" spans="1:24" ht="15">
      <c r="A31" s="16"/>
      <c r="B31" s="15"/>
      <c r="C31" s="3"/>
      <c r="D31" s="3"/>
      <c r="E31" s="3"/>
      <c r="M31" t="str">
        <f>'Summary Sheet'!C34</f>
        <v>Number of Beds  in Each Cluster</v>
      </c>
      <c r="N31">
        <f>'Summary Sheet'!D34</f>
        <v>3</v>
      </c>
      <c r="P31">
        <f aca="true" t="shared" si="0" ref="P31:V31">SUMIF($O$3:$O$29,$N31,P$3:P$29)</f>
        <v>0</v>
      </c>
      <c r="Q31">
        <f t="shared" si="0"/>
        <v>0</v>
      </c>
      <c r="R31">
        <f t="shared" si="0"/>
        <v>0</v>
      </c>
      <c r="S31">
        <f t="shared" si="0"/>
        <v>0</v>
      </c>
      <c r="T31">
        <f t="shared" si="0"/>
        <v>0</v>
      </c>
      <c r="U31">
        <f t="shared" si="0"/>
        <v>0</v>
      </c>
      <c r="V31">
        <f t="shared" si="0"/>
        <v>0</v>
      </c>
      <c r="W31" s="21">
        <f>_xlfn.IFERROR(V31/P31,"")</f>
      </c>
      <c r="X31" s="21">
        <f>_xlfn.IFERROR(V31/U31,"")</f>
      </c>
    </row>
    <row r="32" spans="1:24" ht="15">
      <c r="A32" s="17"/>
      <c r="B32" s="18"/>
      <c r="C32" s="3"/>
      <c r="D32" s="3"/>
      <c r="E32" s="3"/>
      <c r="M32">
        <f>'Summary Sheet'!C35</f>
        <v>0</v>
      </c>
      <c r="N32">
        <f>'Summary Sheet'!D35</f>
        <v>4</v>
      </c>
      <c r="P32">
        <f>SUMIF($O$3:O30,N32,$P$3:$P$29)</f>
        <v>0</v>
      </c>
      <c r="Q32">
        <f aca="true" t="shared" si="1" ref="Q32:V38">SUMIF($O$3:$O$29,$N32,Q$3:Q$29)</f>
        <v>0</v>
      </c>
      <c r="R32">
        <f t="shared" si="1"/>
        <v>0</v>
      </c>
      <c r="S32">
        <f t="shared" si="1"/>
        <v>0</v>
      </c>
      <c r="T32">
        <f t="shared" si="1"/>
        <v>0</v>
      </c>
      <c r="U32">
        <f t="shared" si="1"/>
        <v>0</v>
      </c>
      <c r="V32">
        <f t="shared" si="1"/>
        <v>0</v>
      </c>
      <c r="W32" s="21">
        <f aca="true" t="shared" si="2" ref="W32:W38">_xlfn.IFERROR(V32/P32,"")</f>
      </c>
      <c r="X32" s="21">
        <f aca="true" t="shared" si="3" ref="X32:X38">_xlfn.IFERROR(V32/U32,"")</f>
      </c>
    </row>
    <row r="33" spans="1:24" ht="15">
      <c r="A33" s="3"/>
      <c r="B33" s="15"/>
      <c r="C33" s="15"/>
      <c r="D33" s="15"/>
      <c r="E33" s="15"/>
      <c r="M33">
        <f>'Summary Sheet'!C36</f>
        <v>0</v>
      </c>
      <c r="N33">
        <f>'Summary Sheet'!D36</f>
        <v>5</v>
      </c>
      <c r="P33">
        <f>SUMIF($O$3:O31,N33,$P$3:$P$29)</f>
        <v>0</v>
      </c>
      <c r="Q33">
        <f t="shared" si="1"/>
        <v>0</v>
      </c>
      <c r="R33">
        <f t="shared" si="1"/>
        <v>0</v>
      </c>
      <c r="S33">
        <f t="shared" si="1"/>
        <v>0</v>
      </c>
      <c r="T33">
        <f t="shared" si="1"/>
        <v>0</v>
      </c>
      <c r="U33">
        <f t="shared" si="1"/>
        <v>0</v>
      </c>
      <c r="V33">
        <f t="shared" si="1"/>
        <v>0</v>
      </c>
      <c r="W33" s="21">
        <f t="shared" si="2"/>
      </c>
      <c r="X33" s="21">
        <f t="shared" si="3"/>
      </c>
    </row>
    <row r="34" spans="1:24" ht="15">
      <c r="A34" s="15"/>
      <c r="B34" s="18"/>
      <c r="C34" s="18"/>
      <c r="D34" s="18"/>
      <c r="E34" s="18"/>
      <c r="M34">
        <f>'Summary Sheet'!C37</f>
        <v>0</v>
      </c>
      <c r="N34">
        <f>'Summary Sheet'!D37</f>
        <v>6</v>
      </c>
      <c r="P34">
        <f>SUMIF($O$3:O32,N34,$P$3:$P$29)</f>
        <v>0</v>
      </c>
      <c r="Q34">
        <f t="shared" si="1"/>
        <v>0</v>
      </c>
      <c r="R34">
        <f t="shared" si="1"/>
        <v>0</v>
      </c>
      <c r="S34">
        <f t="shared" si="1"/>
        <v>0</v>
      </c>
      <c r="T34">
        <f t="shared" si="1"/>
        <v>0</v>
      </c>
      <c r="U34">
        <f t="shared" si="1"/>
        <v>0</v>
      </c>
      <c r="V34">
        <f t="shared" si="1"/>
        <v>0</v>
      </c>
      <c r="W34" s="21">
        <f t="shared" si="2"/>
      </c>
      <c r="X34" s="27">
        <f t="shared" si="3"/>
      </c>
    </row>
    <row r="35" spans="1:24" ht="15">
      <c r="A35" s="15"/>
      <c r="B35" s="18"/>
      <c r="C35" s="18"/>
      <c r="D35" s="18"/>
      <c r="E35" s="18"/>
      <c r="M35">
        <f>'Summary Sheet'!C38</f>
        <v>0</v>
      </c>
      <c r="N35">
        <f>'Summary Sheet'!D38</f>
        <v>7</v>
      </c>
      <c r="P35">
        <f>SUMIF($O$3:O33,N35,$P$3:$P$29)</f>
        <v>0</v>
      </c>
      <c r="Q35">
        <f t="shared" si="1"/>
        <v>0</v>
      </c>
      <c r="R35">
        <f t="shared" si="1"/>
        <v>0</v>
      </c>
      <c r="S35">
        <f t="shared" si="1"/>
        <v>0</v>
      </c>
      <c r="T35">
        <f t="shared" si="1"/>
        <v>0</v>
      </c>
      <c r="U35">
        <f t="shared" si="1"/>
        <v>0</v>
      </c>
      <c r="V35">
        <f t="shared" si="1"/>
        <v>0</v>
      </c>
      <c r="W35" s="21">
        <f t="shared" si="2"/>
      </c>
      <c r="X35" s="21">
        <f t="shared" si="3"/>
      </c>
    </row>
    <row r="36" spans="1:24" ht="15">
      <c r="A36" s="15"/>
      <c r="B36" s="18"/>
      <c r="C36" s="18"/>
      <c r="D36" s="18"/>
      <c r="E36" s="18"/>
      <c r="M36">
        <f>'Summary Sheet'!C39</f>
        <v>0</v>
      </c>
      <c r="N36">
        <f>'Summary Sheet'!D39</f>
        <v>8</v>
      </c>
      <c r="P36">
        <f>SUMIF($O$3:O34,N36,$P$3:$P$29)</f>
        <v>0</v>
      </c>
      <c r="Q36">
        <f t="shared" si="1"/>
        <v>0</v>
      </c>
      <c r="R36">
        <f t="shared" si="1"/>
        <v>0</v>
      </c>
      <c r="S36">
        <f t="shared" si="1"/>
        <v>0</v>
      </c>
      <c r="T36">
        <f t="shared" si="1"/>
        <v>0</v>
      </c>
      <c r="U36">
        <f t="shared" si="1"/>
        <v>0</v>
      </c>
      <c r="V36">
        <f t="shared" si="1"/>
        <v>0</v>
      </c>
      <c r="W36" s="21">
        <f t="shared" si="2"/>
      </c>
      <c r="X36" s="21">
        <f t="shared" si="3"/>
      </c>
    </row>
    <row r="37" spans="1:24" ht="15">
      <c r="A37" s="15"/>
      <c r="B37" s="18"/>
      <c r="C37" s="18"/>
      <c r="D37" s="18"/>
      <c r="E37" s="18"/>
      <c r="M37">
        <f>'Summary Sheet'!C40</f>
        <v>0</v>
      </c>
      <c r="N37">
        <f>'Summary Sheet'!D40</f>
        <v>9</v>
      </c>
      <c r="P37">
        <f>SUMIF($O$3:O35,N37,$P$3:$P$29)</f>
        <v>0</v>
      </c>
      <c r="Q37">
        <f t="shared" si="1"/>
        <v>0</v>
      </c>
      <c r="R37">
        <f t="shared" si="1"/>
        <v>0</v>
      </c>
      <c r="S37">
        <f t="shared" si="1"/>
        <v>0</v>
      </c>
      <c r="T37">
        <f t="shared" si="1"/>
        <v>0</v>
      </c>
      <c r="U37">
        <f t="shared" si="1"/>
        <v>0</v>
      </c>
      <c r="V37">
        <f t="shared" si="1"/>
        <v>0</v>
      </c>
      <c r="W37" s="21">
        <f t="shared" si="2"/>
      </c>
      <c r="X37" s="21">
        <f t="shared" si="3"/>
      </c>
    </row>
    <row r="38" spans="1:24" ht="15">
      <c r="A38" s="15"/>
      <c r="B38" s="18"/>
      <c r="C38" s="18"/>
      <c r="D38" s="18"/>
      <c r="E38" s="18"/>
      <c r="M38">
        <f>'Summary Sheet'!C41</f>
        <v>0</v>
      </c>
      <c r="N38">
        <f>'Summary Sheet'!D41</f>
        <v>10</v>
      </c>
      <c r="P38">
        <f>SUMIF($O$3:O36,N38,$P$3:$P$29)</f>
        <v>0</v>
      </c>
      <c r="Q38">
        <f t="shared" si="1"/>
        <v>0</v>
      </c>
      <c r="R38">
        <f t="shared" si="1"/>
        <v>0</v>
      </c>
      <c r="S38">
        <f t="shared" si="1"/>
        <v>0</v>
      </c>
      <c r="T38">
        <f t="shared" si="1"/>
        <v>0</v>
      </c>
      <c r="U38">
        <f t="shared" si="1"/>
        <v>0</v>
      </c>
      <c r="V38">
        <f t="shared" si="1"/>
        <v>0</v>
      </c>
      <c r="W38" s="21">
        <f t="shared" si="2"/>
      </c>
      <c r="X38" s="21">
        <f t="shared" si="3"/>
      </c>
    </row>
    <row r="39" spans="1:5" ht="15">
      <c r="A39" s="15"/>
      <c r="B39" s="18"/>
      <c r="C39" s="18"/>
      <c r="D39" s="18"/>
      <c r="E39" s="18"/>
    </row>
    <row r="40" spans="1:5" ht="15">
      <c r="A40" s="15"/>
      <c r="B40" s="18"/>
      <c r="C40" s="18"/>
      <c r="D40" s="18"/>
      <c r="E40" s="18"/>
    </row>
    <row r="41" spans="1:5" ht="15">
      <c r="A41" s="3"/>
      <c r="B41" s="15"/>
      <c r="C41" s="15"/>
      <c r="D41" s="3"/>
      <c r="E41" s="3"/>
    </row>
    <row r="42" spans="1:5" ht="15">
      <c r="A42" s="15"/>
      <c r="B42" s="18"/>
      <c r="C42" s="18"/>
      <c r="D42" s="3"/>
      <c r="E42" s="3"/>
    </row>
    <row r="43" spans="1:5" ht="15">
      <c r="A43" s="15"/>
      <c r="B43" s="18"/>
      <c r="C43" s="18"/>
      <c r="D43" s="3"/>
      <c r="E43" s="3"/>
    </row>
  </sheetData>
  <sheetProtection/>
  <printOptions/>
  <pageMargins left="0.7" right="0.7" top="0.75" bottom="0.75" header="0.3" footer="0.3"/>
  <pageSetup horizontalDpi="600" verticalDpi="600" orientation="landscape" paperSize="9" scale="82" r:id="rId1"/>
  <rowBreaks count="1" manualBreakCount="1">
    <brk id="30" max="255" man="1"/>
  </rowBreaks>
  <colBreaks count="2" manualBreakCount="2">
    <brk id="6" max="65535" man="1"/>
    <brk id="12" max="65535" man="1"/>
  </colBreaks>
</worksheet>
</file>

<file path=xl/worksheets/sheet15.xml><?xml version="1.0" encoding="utf-8"?>
<worksheet xmlns="http://schemas.openxmlformats.org/spreadsheetml/2006/main" xmlns:r="http://schemas.openxmlformats.org/officeDocument/2006/relationships">
  <sheetPr>
    <tabColor theme="9"/>
  </sheetPr>
  <dimension ref="A1:X44"/>
  <sheetViews>
    <sheetView view="pageBreakPreview" zoomScale="60" zoomScaleNormal="85" zoomScalePageLayoutView="0" workbookViewId="0" topLeftCell="A1">
      <selection activeCell="L37" sqref="L37"/>
    </sheetView>
  </sheetViews>
  <sheetFormatPr defaultColWidth="9.140625" defaultRowHeight="15"/>
  <cols>
    <col min="1" max="1" width="31.7109375" style="0" customWidth="1"/>
    <col min="3" max="3" width="20.140625" style="0" bestFit="1" customWidth="1"/>
    <col min="4" max="4" width="26.28125" style="0" bestFit="1" customWidth="1"/>
    <col min="5" max="5" width="17.00390625" style="0" bestFit="1" customWidth="1"/>
    <col min="8" max="8" width="10.8515625" style="0" customWidth="1"/>
    <col min="9" max="9" width="9.7109375" style="0" customWidth="1"/>
    <col min="10" max="10" width="7.7109375" style="0" customWidth="1"/>
    <col min="11" max="11" width="73.7109375" style="0" bestFit="1" customWidth="1"/>
    <col min="12" max="12" width="14.140625" style="0" customWidth="1"/>
    <col min="13" max="13" width="6.57421875" style="0" customWidth="1"/>
    <col min="14" max="14" width="23.7109375" style="0" customWidth="1"/>
  </cols>
  <sheetData>
    <row r="1" spans="1:4" ht="15.75" thickBot="1">
      <c r="A1" s="6" t="s">
        <v>19</v>
      </c>
      <c r="B1" s="10"/>
      <c r="C1" s="6"/>
      <c r="D1" s="13"/>
    </row>
    <row r="2" spans="1:24" ht="135">
      <c r="A2" s="7" t="s">
        <v>3</v>
      </c>
      <c r="B2" s="10"/>
      <c r="C2" s="7"/>
      <c r="D2" s="13"/>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298</v>
      </c>
      <c r="C3" s="6"/>
      <c r="D3" s="7"/>
      <c r="N3" s="114" t="s">
        <v>156</v>
      </c>
      <c r="O3" s="107">
        <f>P3/Q3</f>
        <v>5.162878787878788</v>
      </c>
      <c r="P3" s="98">
        <f>B9</f>
        <v>1363</v>
      </c>
      <c r="Q3" s="98">
        <f>B7</f>
        <v>264</v>
      </c>
      <c r="R3" s="98">
        <f>B17</f>
        <v>264</v>
      </c>
      <c r="S3" s="98">
        <f>C17</f>
        <v>20</v>
      </c>
      <c r="T3" s="98">
        <v>0</v>
      </c>
      <c r="U3" s="99">
        <f>P3-T3</f>
        <v>1363</v>
      </c>
      <c r="V3" s="100">
        <f>R3*S3</f>
        <v>5280</v>
      </c>
      <c r="W3" s="118">
        <f>V3/P3</f>
        <v>3.8738077769625825</v>
      </c>
      <c r="X3" s="121">
        <f>V3/U3</f>
        <v>3.8738077769625825</v>
      </c>
    </row>
    <row r="4" spans="14:24" ht="15">
      <c r="N4" s="115"/>
      <c r="O4" s="108"/>
      <c r="P4" s="94"/>
      <c r="Q4" s="94"/>
      <c r="R4" s="94"/>
      <c r="S4" s="94"/>
      <c r="T4" s="94"/>
      <c r="U4" s="95"/>
      <c r="V4" s="96"/>
      <c r="W4" s="119"/>
      <c r="X4" s="122"/>
    </row>
    <row r="5" spans="11:24" ht="15">
      <c r="K5" s="20" t="str">
        <f>'Summary Sheet'!C6</f>
        <v>General Communal Area</v>
      </c>
      <c r="L5" s="182">
        <f>B3</f>
        <v>298</v>
      </c>
      <c r="N5" s="115"/>
      <c r="O5" s="108"/>
      <c r="P5" s="94"/>
      <c r="Q5" s="94"/>
      <c r="R5" s="94"/>
      <c r="S5" s="94"/>
      <c r="T5" s="94"/>
      <c r="U5" s="95"/>
      <c r="V5" s="96"/>
      <c r="W5" s="119"/>
      <c r="X5" s="123"/>
    </row>
    <row r="6" spans="1:24" ht="15">
      <c r="A6" s="28" t="s">
        <v>7</v>
      </c>
      <c r="B6" s="6" t="s">
        <v>17</v>
      </c>
      <c r="C6" s="10"/>
      <c r="D6" s="10"/>
      <c r="E6" s="10"/>
      <c r="G6" s="6" t="s">
        <v>21</v>
      </c>
      <c r="H6" s="6" t="s">
        <v>17</v>
      </c>
      <c r="I6" s="6" t="s">
        <v>18</v>
      </c>
      <c r="K6" s="20" t="str">
        <f>'Summary Sheet'!C7</f>
        <v>Kitchen / Dining / Living Area (Shared Internal Area)</v>
      </c>
      <c r="L6" s="182">
        <f>(B17*C17)</f>
        <v>5280</v>
      </c>
      <c r="N6" s="115"/>
      <c r="O6" s="108"/>
      <c r="P6" s="94"/>
      <c r="Q6" s="94"/>
      <c r="R6" s="94"/>
      <c r="S6" s="94"/>
      <c r="T6" s="94"/>
      <c r="U6" s="95"/>
      <c r="V6" s="96"/>
      <c r="W6" s="119"/>
      <c r="X6" s="123"/>
    </row>
    <row r="7" spans="1:24" ht="15">
      <c r="A7" s="8" t="s">
        <v>135</v>
      </c>
      <c r="B7" s="9">
        <v>264</v>
      </c>
      <c r="C7" s="10"/>
      <c r="D7" s="10"/>
      <c r="E7" s="10"/>
      <c r="G7" s="6" t="s">
        <v>22</v>
      </c>
      <c r="H7" s="11">
        <v>380</v>
      </c>
      <c r="I7" s="11">
        <v>28</v>
      </c>
      <c r="K7" s="20" t="str">
        <f>'Summary Sheet'!C8</f>
        <v>Total Communal Area</v>
      </c>
      <c r="L7" s="185">
        <f>SUM(L5:L6)</f>
        <v>5578</v>
      </c>
      <c r="N7" s="115"/>
      <c r="O7" s="108"/>
      <c r="P7" s="94"/>
      <c r="Q7" s="94"/>
      <c r="R7" s="94"/>
      <c r="S7" s="94"/>
      <c r="T7" s="94"/>
      <c r="U7" s="95"/>
      <c r="V7" s="96"/>
      <c r="W7" s="119"/>
      <c r="X7" s="123"/>
    </row>
    <row r="8" spans="1:24" ht="15">
      <c r="A8" s="10"/>
      <c r="B8" s="6" t="s">
        <v>17</v>
      </c>
      <c r="C8" s="6" t="s">
        <v>190</v>
      </c>
      <c r="D8" s="6" t="s">
        <v>191</v>
      </c>
      <c r="E8" s="6" t="s">
        <v>34</v>
      </c>
      <c r="G8" s="6" t="s">
        <v>23</v>
      </c>
      <c r="H8" s="11">
        <v>10</v>
      </c>
      <c r="I8" s="11">
        <v>33</v>
      </c>
      <c r="K8" s="20"/>
      <c r="L8" s="182"/>
      <c r="N8" s="115"/>
      <c r="O8" s="108"/>
      <c r="P8" s="94"/>
      <c r="Q8" s="94"/>
      <c r="R8" s="94"/>
      <c r="S8" s="94"/>
      <c r="T8" s="94"/>
      <c r="U8" s="95"/>
      <c r="V8" s="96"/>
      <c r="W8" s="119"/>
      <c r="X8" s="123"/>
    </row>
    <row r="9" spans="1:24" ht="15">
      <c r="A9" s="6" t="s">
        <v>8</v>
      </c>
      <c r="B9" s="1">
        <f>SUM(B10:B15)</f>
        <v>1363</v>
      </c>
      <c r="D9" s="9"/>
      <c r="E9" s="9"/>
      <c r="G9" s="6" t="s">
        <v>24</v>
      </c>
      <c r="H9" s="11"/>
      <c r="I9" s="11"/>
      <c r="K9" s="20"/>
      <c r="L9" s="182"/>
      <c r="N9" s="115"/>
      <c r="O9" s="108"/>
      <c r="P9" s="94"/>
      <c r="Q9" s="94"/>
      <c r="R9" s="94"/>
      <c r="S9" s="94"/>
      <c r="T9" s="94"/>
      <c r="U9" s="95"/>
      <c r="V9" s="96"/>
      <c r="W9" s="119"/>
      <c r="X9" s="123"/>
    </row>
    <row r="10" spans="1:24" ht="15">
      <c r="A10" s="6" t="s">
        <v>9</v>
      </c>
      <c r="B10" s="30">
        <v>1314</v>
      </c>
      <c r="C10" s="14">
        <v>12.5</v>
      </c>
      <c r="D10" s="14"/>
      <c r="E10" s="14"/>
      <c r="G10" s="6" t="s">
        <v>25</v>
      </c>
      <c r="H10" s="11"/>
      <c r="I10" s="11"/>
      <c r="K10" s="20" t="str">
        <f>'Summary Sheet'!C10</f>
        <v>Number of Bedrooms (cluster &amp; studio) (non Accessible)</v>
      </c>
      <c r="L10" s="6">
        <f>B10+B11+H7+H8</f>
        <v>1753</v>
      </c>
      <c r="N10" s="115"/>
      <c r="O10" s="108"/>
      <c r="P10" s="94"/>
      <c r="Q10" s="94"/>
      <c r="R10" s="94"/>
      <c r="S10" s="94"/>
      <c r="T10" s="94"/>
      <c r="U10" s="95"/>
      <c r="V10" s="96"/>
      <c r="W10" s="119"/>
      <c r="X10" s="123"/>
    </row>
    <row r="11" spans="1:24" ht="15">
      <c r="A11" s="6" t="s">
        <v>10</v>
      </c>
      <c r="B11" s="14">
        <v>49</v>
      </c>
      <c r="C11" s="14">
        <v>16.5</v>
      </c>
      <c r="D11" s="14"/>
      <c r="E11" s="14"/>
      <c r="G11" s="6" t="s">
        <v>26</v>
      </c>
      <c r="H11" s="11"/>
      <c r="I11" s="11"/>
      <c r="K11" s="20" t="str">
        <f>'Summary Sheet'!C11</f>
        <v>Total Area of Bedrooms (cluster &amp; studio) (non Accessible)</v>
      </c>
      <c r="L11" s="182">
        <f>(B10*C10)+(B11*C11)+(H7*I7)+(H8*I8)</f>
        <v>28203.5</v>
      </c>
      <c r="N11" s="115"/>
      <c r="O11" s="108"/>
      <c r="P11" s="94"/>
      <c r="Q11" s="94"/>
      <c r="R11" s="94"/>
      <c r="S11" s="94"/>
      <c r="T11" s="94"/>
      <c r="U11" s="96"/>
      <c r="V11" s="96"/>
      <c r="W11" s="119"/>
      <c r="X11" s="123"/>
    </row>
    <row r="12" spans="1:24" ht="15">
      <c r="A12" s="6" t="s">
        <v>11</v>
      </c>
      <c r="B12" s="9"/>
      <c r="C12" s="9"/>
      <c r="D12" s="9"/>
      <c r="E12" s="9"/>
      <c r="G12" s="6" t="s">
        <v>27</v>
      </c>
      <c r="H12" s="11"/>
      <c r="I12" s="11"/>
      <c r="K12" s="20" t="str">
        <f>'Summary Sheet'!C12</f>
        <v>Average size of Bedroom (cluster &amp; studio) (non Accessible)</v>
      </c>
      <c r="L12" s="185">
        <f>L11/L10</f>
        <v>16.08870507701084</v>
      </c>
      <c r="N12" s="115"/>
      <c r="O12" s="108"/>
      <c r="P12" s="94"/>
      <c r="Q12" s="94"/>
      <c r="R12" s="94"/>
      <c r="S12" s="94"/>
      <c r="T12" s="94"/>
      <c r="U12" s="95"/>
      <c r="V12" s="96"/>
      <c r="W12" s="119"/>
      <c r="X12" s="123"/>
    </row>
    <row r="13" spans="1:24" ht="15">
      <c r="A13" s="6" t="s">
        <v>12</v>
      </c>
      <c r="B13" s="9"/>
      <c r="C13" s="9"/>
      <c r="D13" s="9"/>
      <c r="E13" s="9"/>
      <c r="G13" s="6" t="s">
        <v>28</v>
      </c>
      <c r="H13" s="11"/>
      <c r="I13" s="11"/>
      <c r="K13" s="20"/>
      <c r="L13" s="185"/>
      <c r="N13" s="115"/>
      <c r="O13" s="108"/>
      <c r="P13" s="94"/>
      <c r="Q13" s="94"/>
      <c r="R13" s="94"/>
      <c r="S13" s="94"/>
      <c r="T13" s="94"/>
      <c r="U13" s="95"/>
      <c r="V13" s="96"/>
      <c r="W13" s="119"/>
      <c r="X13" s="123"/>
    </row>
    <row r="14" spans="1:24" ht="15">
      <c r="A14" s="6" t="s">
        <v>13</v>
      </c>
      <c r="B14" s="9"/>
      <c r="C14" s="9"/>
      <c r="D14" s="9"/>
      <c r="E14" s="9"/>
      <c r="G14" s="6" t="s">
        <v>29</v>
      </c>
      <c r="H14" s="11"/>
      <c r="I14" s="11"/>
      <c r="K14" s="20" t="str">
        <f>'Summary Sheet'!C14</f>
        <v>Number of Cluster Bedrooms (non Accessible)</v>
      </c>
      <c r="L14" s="186">
        <f>B10+B11</f>
        <v>1363</v>
      </c>
      <c r="N14" s="115"/>
      <c r="O14" s="108"/>
      <c r="P14" s="94"/>
      <c r="Q14" s="94"/>
      <c r="R14" s="94"/>
      <c r="S14" s="94"/>
      <c r="T14" s="94"/>
      <c r="U14" s="95"/>
      <c r="V14" s="96"/>
      <c r="W14" s="119"/>
      <c r="X14" s="123"/>
    </row>
    <row r="15" spans="1:24" ht="15">
      <c r="A15" s="6" t="s">
        <v>14</v>
      </c>
      <c r="B15" s="9"/>
      <c r="C15" s="9"/>
      <c r="D15" s="9"/>
      <c r="E15" s="9"/>
      <c r="G15" s="6" t="s">
        <v>30</v>
      </c>
      <c r="H15" s="11"/>
      <c r="I15" s="11"/>
      <c r="K15" s="20" t="str">
        <f>'Summary Sheet'!C15</f>
        <v>Total Area of Cluster Bedrooms (non Accessible)</v>
      </c>
      <c r="L15" s="6">
        <f>(B10*C10)+(B11*C11)</f>
        <v>17233.5</v>
      </c>
      <c r="N15" s="115"/>
      <c r="O15" s="108"/>
      <c r="P15" s="94"/>
      <c r="Q15" s="94"/>
      <c r="R15" s="94"/>
      <c r="S15" s="94"/>
      <c r="T15" s="94"/>
      <c r="U15" s="95"/>
      <c r="V15" s="96"/>
      <c r="W15" s="119"/>
      <c r="X15" s="123"/>
    </row>
    <row r="16" spans="1:24" ht="15">
      <c r="A16" s="10"/>
      <c r="B16" s="6" t="s">
        <v>17</v>
      </c>
      <c r="C16" s="6" t="s">
        <v>18</v>
      </c>
      <c r="D16" s="10"/>
      <c r="E16" s="10"/>
      <c r="G16" s="6" t="s">
        <v>31</v>
      </c>
      <c r="H16" s="11"/>
      <c r="I16" s="11"/>
      <c r="K16" s="20" t="str">
        <f>'Summary Sheet'!C16</f>
        <v>Average Size of Cluster Bedroom (non Accessible)</v>
      </c>
      <c r="L16" s="187">
        <f>L15/L14</f>
        <v>12.64380044020543</v>
      </c>
      <c r="N16" s="115"/>
      <c r="O16" s="108"/>
      <c r="P16" s="94"/>
      <c r="Q16" s="94"/>
      <c r="R16" s="94"/>
      <c r="S16" s="94"/>
      <c r="T16" s="94"/>
      <c r="U16" s="95"/>
      <c r="V16" s="96"/>
      <c r="W16" s="119"/>
      <c r="X16" s="123"/>
    </row>
    <row r="17" spans="1:24" ht="15">
      <c r="A17" s="6" t="s">
        <v>16</v>
      </c>
      <c r="B17" s="9">
        <v>264</v>
      </c>
      <c r="C17" s="9">
        <v>20</v>
      </c>
      <c r="D17" s="10"/>
      <c r="E17" s="10"/>
      <c r="G17" s="6" t="s">
        <v>32</v>
      </c>
      <c r="H17" s="11"/>
      <c r="I17" s="11"/>
      <c r="K17" s="20"/>
      <c r="L17" s="188"/>
      <c r="N17" s="115"/>
      <c r="O17" s="108"/>
      <c r="P17" s="94"/>
      <c r="Q17" s="94"/>
      <c r="R17" s="94"/>
      <c r="S17" s="94"/>
      <c r="T17" s="94"/>
      <c r="U17" s="95"/>
      <c r="V17" s="96"/>
      <c r="W17" s="119"/>
      <c r="X17" s="123"/>
    </row>
    <row r="18" spans="1:24" ht="15">
      <c r="A18" s="6" t="s">
        <v>15</v>
      </c>
      <c r="B18" s="9"/>
      <c r="C18" s="9"/>
      <c r="D18" s="10"/>
      <c r="E18" s="10"/>
      <c r="G18" s="6" t="s">
        <v>33</v>
      </c>
      <c r="H18" s="11"/>
      <c r="I18" s="11"/>
      <c r="K18" s="20" t="str">
        <f>'Summary Sheet'!C18</f>
        <v>Number of Studio Bedspaces (non Accessible)</v>
      </c>
      <c r="L18" s="186">
        <f>H7+H8</f>
        <v>390</v>
      </c>
      <c r="N18" s="115"/>
      <c r="O18" s="108"/>
      <c r="P18" s="94"/>
      <c r="Q18" s="94"/>
      <c r="R18" s="94"/>
      <c r="S18" s="94"/>
      <c r="T18" s="94"/>
      <c r="U18" s="95"/>
      <c r="V18" s="96"/>
      <c r="W18" s="119"/>
      <c r="X18" s="123"/>
    </row>
    <row r="19" spans="11:24" ht="15">
      <c r="K19" s="20" t="str">
        <f>'Summary Sheet'!C19</f>
        <v>Total Area of Studio Bedspace (non Accessible)</v>
      </c>
      <c r="L19" s="186">
        <f>(H7*I7)+(H8*I8)</f>
        <v>10970</v>
      </c>
      <c r="N19" s="115"/>
      <c r="O19" s="108"/>
      <c r="P19" s="94"/>
      <c r="Q19" s="94"/>
      <c r="R19" s="94"/>
      <c r="S19" s="94"/>
      <c r="T19" s="94"/>
      <c r="U19" s="95"/>
      <c r="V19" s="96"/>
      <c r="W19" s="119"/>
      <c r="X19" s="123"/>
    </row>
    <row r="20" spans="11:24" ht="15">
      <c r="K20" s="20" t="str">
        <f>'Summary Sheet'!C20</f>
        <v>Average Size of Studio Bedspaces (non Accessible)</v>
      </c>
      <c r="L20" s="189">
        <f>L19/L18</f>
        <v>28.128205128205128</v>
      </c>
      <c r="N20" s="115"/>
      <c r="O20" s="108"/>
      <c r="P20" s="94"/>
      <c r="Q20" s="94"/>
      <c r="R20" s="94"/>
      <c r="S20" s="94"/>
      <c r="T20" s="94"/>
      <c r="U20" s="95"/>
      <c r="V20" s="96"/>
      <c r="W20" s="119"/>
      <c r="X20" s="123"/>
    </row>
    <row r="21" spans="1:24" ht="15">
      <c r="A21" s="28" t="s">
        <v>7</v>
      </c>
      <c r="B21" s="6" t="s">
        <v>17</v>
      </c>
      <c r="C21" s="10"/>
      <c r="D21" s="10"/>
      <c r="E21" s="10"/>
      <c r="K21" s="20"/>
      <c r="L21" s="182"/>
      <c r="N21" s="115"/>
      <c r="O21" s="108"/>
      <c r="P21" s="94"/>
      <c r="Q21" s="94"/>
      <c r="R21" s="94"/>
      <c r="S21" s="94"/>
      <c r="T21" s="94"/>
      <c r="U21" s="95"/>
      <c r="V21" s="96"/>
      <c r="W21" s="119"/>
      <c r="X21" s="123"/>
    </row>
    <row r="22" spans="1:24" ht="15">
      <c r="A22" s="8"/>
      <c r="B22" s="9"/>
      <c r="C22" s="10"/>
      <c r="D22" s="10"/>
      <c r="E22" s="10"/>
      <c r="K22" s="6" t="str">
        <f>'Summary Sheet'!C24</f>
        <v>Total Number of Bedrooms Inc Accessible</v>
      </c>
      <c r="L22" s="6">
        <f>L10</f>
        <v>1753</v>
      </c>
      <c r="N22" s="115"/>
      <c r="O22" s="108"/>
      <c r="P22" s="94"/>
      <c r="Q22" s="94"/>
      <c r="R22" s="94"/>
      <c r="S22" s="94"/>
      <c r="T22" s="94"/>
      <c r="U22" s="95"/>
      <c r="V22" s="96"/>
      <c r="W22" s="119"/>
      <c r="X22" s="123"/>
    </row>
    <row r="23" spans="1:24" ht="15">
      <c r="A23" s="10"/>
      <c r="B23" s="6" t="s">
        <v>17</v>
      </c>
      <c r="C23" s="6" t="s">
        <v>190</v>
      </c>
      <c r="D23" s="6" t="s">
        <v>191</v>
      </c>
      <c r="E23" s="6" t="s">
        <v>34</v>
      </c>
      <c r="K23" s="6" t="str">
        <f>'Summary Sheet'!C26</f>
        <v>Number of Accessible Bedrooms</v>
      </c>
      <c r="L23" s="6">
        <v>0</v>
      </c>
      <c r="N23" s="115"/>
      <c r="O23" s="108"/>
      <c r="P23" s="94"/>
      <c r="Q23" s="94"/>
      <c r="R23" s="94"/>
      <c r="S23" s="94"/>
      <c r="T23" s="94"/>
      <c r="U23" s="95"/>
      <c r="V23" s="96"/>
      <c r="W23" s="119"/>
      <c r="X23" s="123"/>
    </row>
    <row r="24" spans="1:24" ht="15">
      <c r="A24" s="6" t="s">
        <v>8</v>
      </c>
      <c r="B24" s="9"/>
      <c r="C24" s="9"/>
      <c r="D24" s="9"/>
      <c r="E24" s="9"/>
      <c r="K24" s="198" t="str">
        <f>'Summary Sheet'!C27</f>
        <v>Average Size of Accessible Bedroom</v>
      </c>
      <c r="L24" s="199">
        <v>0</v>
      </c>
      <c r="N24" s="115"/>
      <c r="O24" s="108"/>
      <c r="P24" s="94"/>
      <c r="Q24" s="94"/>
      <c r="R24" s="94"/>
      <c r="S24" s="94"/>
      <c r="T24" s="94"/>
      <c r="U24" s="95"/>
      <c r="V24" s="96"/>
      <c r="W24" s="119"/>
      <c r="X24" s="123"/>
    </row>
    <row r="25" spans="1:24" ht="15">
      <c r="A25" s="6" t="s">
        <v>9</v>
      </c>
      <c r="B25" s="9"/>
      <c r="C25" s="9"/>
      <c r="D25" s="9"/>
      <c r="E25" s="9"/>
      <c r="K25" s="201"/>
      <c r="L25" s="202"/>
      <c r="N25" s="115"/>
      <c r="O25" s="108"/>
      <c r="P25" s="94"/>
      <c r="Q25" s="94"/>
      <c r="R25" s="94"/>
      <c r="S25" s="94"/>
      <c r="T25" s="94"/>
      <c r="U25" s="95"/>
      <c r="V25" s="96"/>
      <c r="W25" s="119"/>
      <c r="X25" s="123"/>
    </row>
    <row r="26" spans="1:24" ht="15">
      <c r="A26" s="6" t="s">
        <v>10</v>
      </c>
      <c r="B26" s="9"/>
      <c r="C26" s="9"/>
      <c r="D26" s="9"/>
      <c r="E26" s="9"/>
      <c r="K26" s="12"/>
      <c r="L26" s="12"/>
      <c r="N26" s="115"/>
      <c r="O26" s="108"/>
      <c r="P26" s="94"/>
      <c r="Q26" s="94"/>
      <c r="R26" s="94"/>
      <c r="S26" s="94"/>
      <c r="T26" s="94"/>
      <c r="U26" s="95"/>
      <c r="V26" s="96"/>
      <c r="W26" s="119"/>
      <c r="X26" s="123"/>
    </row>
    <row r="27" spans="1:24" ht="15">
      <c r="A27" s="6" t="s">
        <v>11</v>
      </c>
      <c r="B27" s="9"/>
      <c r="C27" s="9"/>
      <c r="D27" s="9"/>
      <c r="E27" s="9"/>
      <c r="N27" s="115"/>
      <c r="O27" s="108"/>
      <c r="P27" s="94"/>
      <c r="Q27" s="94"/>
      <c r="R27" s="94"/>
      <c r="S27" s="94"/>
      <c r="T27" s="94"/>
      <c r="U27" s="95"/>
      <c r="V27" s="96"/>
      <c r="W27" s="119"/>
      <c r="X27" s="123"/>
    </row>
    <row r="28" spans="1:24" ht="15">
      <c r="A28" s="6" t="s">
        <v>12</v>
      </c>
      <c r="B28" s="9"/>
      <c r="C28" s="9"/>
      <c r="D28" s="9"/>
      <c r="E28" s="9"/>
      <c r="N28" s="115"/>
      <c r="O28" s="108"/>
      <c r="P28" s="94"/>
      <c r="Q28" s="94"/>
      <c r="R28" s="94"/>
      <c r="S28" s="94"/>
      <c r="T28" s="94"/>
      <c r="U28" s="95"/>
      <c r="V28" s="96"/>
      <c r="W28" s="119"/>
      <c r="X28" s="123"/>
    </row>
    <row r="29" spans="1:24" ht="15">
      <c r="A29" s="6" t="s">
        <v>13</v>
      </c>
      <c r="B29" s="9"/>
      <c r="C29" s="9"/>
      <c r="D29" s="9"/>
      <c r="E29" s="9"/>
      <c r="N29" s="115"/>
      <c r="O29" s="108"/>
      <c r="P29" s="94"/>
      <c r="Q29" s="94"/>
      <c r="R29" s="94"/>
      <c r="S29" s="94"/>
      <c r="T29" s="94"/>
      <c r="U29" s="95"/>
      <c r="V29" s="96"/>
      <c r="W29" s="119"/>
      <c r="X29" s="123"/>
    </row>
    <row r="30" spans="1:24" ht="15">
      <c r="A30" s="6" t="s">
        <v>14</v>
      </c>
      <c r="B30" s="9"/>
      <c r="C30" s="9"/>
      <c r="D30" s="9"/>
      <c r="E30" s="9"/>
      <c r="N30" s="115"/>
      <c r="O30" s="108"/>
      <c r="P30" s="94"/>
      <c r="Q30" s="94"/>
      <c r="R30" s="94"/>
      <c r="S30" s="94"/>
      <c r="T30" s="94"/>
      <c r="U30" s="95"/>
      <c r="V30" s="96"/>
      <c r="W30" s="119"/>
      <c r="X30" s="123"/>
    </row>
    <row r="31" spans="1:24" ht="15">
      <c r="A31" s="10"/>
      <c r="B31" s="6" t="s">
        <v>17</v>
      </c>
      <c r="C31" s="6" t="s">
        <v>18</v>
      </c>
      <c r="D31" s="10"/>
      <c r="E31" s="10"/>
      <c r="N31" s="115"/>
      <c r="O31" s="108"/>
      <c r="P31" s="94"/>
      <c r="Q31" s="94"/>
      <c r="R31" s="94"/>
      <c r="S31" s="94"/>
      <c r="T31" s="94"/>
      <c r="U31" s="95"/>
      <c r="V31" s="96"/>
      <c r="W31" s="119"/>
      <c r="X31" s="123"/>
    </row>
    <row r="32" spans="1:24" ht="15">
      <c r="A32" s="6" t="s">
        <v>16</v>
      </c>
      <c r="B32" s="9"/>
      <c r="C32" s="9"/>
      <c r="D32" s="10"/>
      <c r="E32" s="10"/>
      <c r="N32" s="115"/>
      <c r="O32" s="108"/>
      <c r="P32" s="94"/>
      <c r="Q32" s="94"/>
      <c r="R32" s="94"/>
      <c r="S32" s="94"/>
      <c r="T32" s="94"/>
      <c r="U32" s="95"/>
      <c r="V32" s="96"/>
      <c r="W32" s="119"/>
      <c r="X32" s="123"/>
    </row>
    <row r="33" spans="1:24" ht="15">
      <c r="A33" s="6" t="s">
        <v>15</v>
      </c>
      <c r="B33" s="9"/>
      <c r="C33" s="9"/>
      <c r="D33" s="10"/>
      <c r="E33" s="10"/>
      <c r="N33" s="115"/>
      <c r="O33" s="108"/>
      <c r="P33" s="94"/>
      <c r="Q33" s="94"/>
      <c r="R33" s="94"/>
      <c r="S33" s="94"/>
      <c r="T33" s="94"/>
      <c r="U33" s="95"/>
      <c r="V33" s="96"/>
      <c r="W33" s="119"/>
      <c r="X33" s="123"/>
    </row>
    <row r="34" spans="14:24" ht="15">
      <c r="N34" s="112"/>
      <c r="O34" s="108"/>
      <c r="P34" s="94"/>
      <c r="Q34" s="94"/>
      <c r="R34" s="94"/>
      <c r="S34" s="94"/>
      <c r="T34" s="94"/>
      <c r="U34" s="95"/>
      <c r="V34" s="96"/>
      <c r="W34" s="119"/>
      <c r="X34" s="123"/>
    </row>
    <row r="35" spans="14:24" ht="15.75" thickBot="1">
      <c r="N35" s="113"/>
      <c r="O35" s="125"/>
      <c r="P35" s="97"/>
      <c r="Q35" s="97"/>
      <c r="R35" s="97"/>
      <c r="S35" s="97"/>
      <c r="T35" s="97"/>
      <c r="U35" s="116"/>
      <c r="V35" s="117"/>
      <c r="W35" s="120"/>
      <c r="X35" s="124"/>
    </row>
    <row r="37" spans="14:24" ht="15">
      <c r="N37" t="str">
        <f>'Summary Sheet'!C34</f>
        <v>Number of Beds  in Each Cluster</v>
      </c>
      <c r="O37">
        <f>'Summary Sheet'!D34</f>
        <v>3</v>
      </c>
      <c r="P37">
        <f aca="true" t="shared" si="0" ref="P37:V37">SUMIF($O$3:$O$35,$O37,P$3:P$35)</f>
        <v>0</v>
      </c>
      <c r="Q37">
        <f t="shared" si="0"/>
        <v>0</v>
      </c>
      <c r="R37">
        <f t="shared" si="0"/>
        <v>0</v>
      </c>
      <c r="S37">
        <f t="shared" si="0"/>
        <v>0</v>
      </c>
      <c r="T37">
        <f t="shared" si="0"/>
        <v>0</v>
      </c>
      <c r="U37">
        <f t="shared" si="0"/>
        <v>0</v>
      </c>
      <c r="V37">
        <f t="shared" si="0"/>
        <v>0</v>
      </c>
      <c r="W37" s="21">
        <f>_xlfn.IFERROR(V37/P37,"")</f>
      </c>
      <c r="X37" s="21">
        <f>_xlfn.IFERROR(V37/U37,"")</f>
      </c>
    </row>
    <row r="38" spans="14:24" ht="15">
      <c r="N38">
        <f>'Summary Sheet'!C35</f>
        <v>0</v>
      </c>
      <c r="O38">
        <f>'Summary Sheet'!D35</f>
        <v>4</v>
      </c>
      <c r="P38">
        <f>SUMIF($O$3:O36,O38,$P$3:$P$35)</f>
        <v>0</v>
      </c>
      <c r="Q38">
        <f aca="true" t="shared" si="1" ref="Q38:V44">SUMIF($O$3:$O$35,$O38,Q$3:Q$35)</f>
        <v>0</v>
      </c>
      <c r="R38">
        <f t="shared" si="1"/>
        <v>0</v>
      </c>
      <c r="S38">
        <f t="shared" si="1"/>
        <v>0</v>
      </c>
      <c r="T38">
        <f t="shared" si="1"/>
        <v>0</v>
      </c>
      <c r="U38">
        <f t="shared" si="1"/>
        <v>0</v>
      </c>
      <c r="V38">
        <f t="shared" si="1"/>
        <v>0</v>
      </c>
      <c r="W38" s="21">
        <f aca="true" t="shared" si="2" ref="W38:W44">_xlfn.IFERROR(V38/P38,"")</f>
      </c>
      <c r="X38" s="21">
        <f aca="true" t="shared" si="3" ref="X38:X44">_xlfn.IFERROR(V38/U38,"")</f>
      </c>
    </row>
    <row r="39" spans="14:24" ht="15">
      <c r="N39">
        <f>'Summary Sheet'!C36</f>
        <v>0</v>
      </c>
      <c r="O39">
        <f>'Summary Sheet'!D36</f>
        <v>5</v>
      </c>
      <c r="P39">
        <f>SUMIF($O$3:O36,O39,$P$3:$P$35)</f>
        <v>0</v>
      </c>
      <c r="Q39">
        <f t="shared" si="1"/>
        <v>0</v>
      </c>
      <c r="R39">
        <f t="shared" si="1"/>
        <v>0</v>
      </c>
      <c r="S39">
        <f t="shared" si="1"/>
        <v>0</v>
      </c>
      <c r="T39">
        <f t="shared" si="1"/>
        <v>0</v>
      </c>
      <c r="U39">
        <f t="shared" si="1"/>
        <v>0</v>
      </c>
      <c r="V39">
        <f t="shared" si="1"/>
        <v>0</v>
      </c>
      <c r="W39" s="21">
        <f t="shared" si="2"/>
      </c>
      <c r="X39" s="21">
        <f t="shared" si="3"/>
      </c>
    </row>
    <row r="40" spans="14:24" ht="15">
      <c r="N40">
        <f>'Summary Sheet'!C37</f>
        <v>0</v>
      </c>
      <c r="O40">
        <f>'Summary Sheet'!D37</f>
        <v>6</v>
      </c>
      <c r="P40">
        <f>SUMIF($O$3:O36,O40,$P$3:$P$35)</f>
        <v>0</v>
      </c>
      <c r="Q40">
        <f t="shared" si="1"/>
        <v>0</v>
      </c>
      <c r="R40">
        <f t="shared" si="1"/>
        <v>0</v>
      </c>
      <c r="S40">
        <f t="shared" si="1"/>
        <v>0</v>
      </c>
      <c r="T40">
        <f t="shared" si="1"/>
        <v>0</v>
      </c>
      <c r="U40">
        <f t="shared" si="1"/>
        <v>0</v>
      </c>
      <c r="V40">
        <f t="shared" si="1"/>
        <v>0</v>
      </c>
      <c r="W40" s="21">
        <f t="shared" si="2"/>
      </c>
      <c r="X40" s="27">
        <f t="shared" si="3"/>
      </c>
    </row>
    <row r="41" spans="14:24" ht="15">
      <c r="N41">
        <f>'Summary Sheet'!C38</f>
        <v>0</v>
      </c>
      <c r="O41">
        <f>'Summary Sheet'!D38</f>
        <v>7</v>
      </c>
      <c r="P41">
        <f>SUMIF($O$3:O36,O41,$P$3:$P$35)</f>
        <v>0</v>
      </c>
      <c r="Q41">
        <f t="shared" si="1"/>
        <v>0</v>
      </c>
      <c r="R41">
        <f t="shared" si="1"/>
        <v>0</v>
      </c>
      <c r="S41">
        <f t="shared" si="1"/>
        <v>0</v>
      </c>
      <c r="T41">
        <f t="shared" si="1"/>
        <v>0</v>
      </c>
      <c r="U41">
        <f t="shared" si="1"/>
        <v>0</v>
      </c>
      <c r="V41">
        <f t="shared" si="1"/>
        <v>0</v>
      </c>
      <c r="W41" s="21">
        <f t="shared" si="2"/>
      </c>
      <c r="X41" s="21">
        <f t="shared" si="3"/>
      </c>
    </row>
    <row r="42" spans="14:24" ht="15">
      <c r="N42">
        <f>'Summary Sheet'!C39</f>
        <v>0</v>
      </c>
      <c r="O42">
        <f>'Summary Sheet'!D39</f>
        <v>8</v>
      </c>
      <c r="P42">
        <f>SUMIF($O$3:O36,O42,$P$3:$P$35)</f>
        <v>0</v>
      </c>
      <c r="Q42">
        <f t="shared" si="1"/>
        <v>0</v>
      </c>
      <c r="R42">
        <f t="shared" si="1"/>
        <v>0</v>
      </c>
      <c r="S42">
        <f t="shared" si="1"/>
        <v>0</v>
      </c>
      <c r="T42">
        <f t="shared" si="1"/>
        <v>0</v>
      </c>
      <c r="U42">
        <f t="shared" si="1"/>
        <v>0</v>
      </c>
      <c r="V42">
        <f t="shared" si="1"/>
        <v>0</v>
      </c>
      <c r="W42" s="21">
        <f t="shared" si="2"/>
      </c>
      <c r="X42" s="21">
        <f t="shared" si="3"/>
      </c>
    </row>
    <row r="43" spans="14:24" ht="15">
      <c r="N43">
        <f>'Summary Sheet'!C40</f>
        <v>0</v>
      </c>
      <c r="O43">
        <f>'Summary Sheet'!D40</f>
        <v>9</v>
      </c>
      <c r="P43">
        <f>SUMIF($O$3:O36,O43,$P$3:$P$35)</f>
        <v>0</v>
      </c>
      <c r="Q43">
        <f t="shared" si="1"/>
        <v>0</v>
      </c>
      <c r="R43">
        <f t="shared" si="1"/>
        <v>0</v>
      </c>
      <c r="S43">
        <f t="shared" si="1"/>
        <v>0</v>
      </c>
      <c r="T43">
        <f t="shared" si="1"/>
        <v>0</v>
      </c>
      <c r="U43">
        <f t="shared" si="1"/>
        <v>0</v>
      </c>
      <c r="V43">
        <f t="shared" si="1"/>
        <v>0</v>
      </c>
      <c r="W43" s="21">
        <f t="shared" si="2"/>
      </c>
      <c r="X43" s="21">
        <f t="shared" si="3"/>
      </c>
    </row>
    <row r="44" spans="14:24" ht="15">
      <c r="N44">
        <f>'Summary Sheet'!C41</f>
        <v>0</v>
      </c>
      <c r="O44">
        <f>'Summary Sheet'!D41</f>
        <v>10</v>
      </c>
      <c r="P44">
        <f>SUMIF($O$3:O36,O44,$P$3:$P$35)</f>
        <v>0</v>
      </c>
      <c r="Q44">
        <f t="shared" si="1"/>
        <v>0</v>
      </c>
      <c r="R44">
        <f t="shared" si="1"/>
        <v>0</v>
      </c>
      <c r="S44">
        <f t="shared" si="1"/>
        <v>0</v>
      </c>
      <c r="T44">
        <f t="shared" si="1"/>
        <v>0</v>
      </c>
      <c r="U44">
        <f t="shared" si="1"/>
        <v>0</v>
      </c>
      <c r="V44">
        <f t="shared" si="1"/>
        <v>0</v>
      </c>
      <c r="W44" s="21">
        <f t="shared" si="2"/>
      </c>
      <c r="X44" s="21">
        <f t="shared" si="3"/>
      </c>
    </row>
  </sheetData>
  <sheetProtection/>
  <printOptions/>
  <pageMargins left="0.7" right="0.7" top="0.75" bottom="0.75" header="0.3" footer="0.3"/>
  <pageSetup horizontalDpi="600" verticalDpi="600" orientation="landscape" paperSize="9" scale="81" r:id="rId1"/>
  <rowBreaks count="1" manualBreakCount="1">
    <brk id="33" max="255" man="1"/>
  </rowBreaks>
  <colBreaks count="1" manualBreakCount="1">
    <brk id="6" max="65535" man="1"/>
  </colBreaks>
</worksheet>
</file>

<file path=xl/worksheets/sheet16.xml><?xml version="1.0" encoding="utf-8"?>
<worksheet xmlns="http://schemas.openxmlformats.org/spreadsheetml/2006/main" xmlns:r="http://schemas.openxmlformats.org/officeDocument/2006/relationships">
  <sheetPr>
    <tabColor theme="9"/>
  </sheetPr>
  <dimension ref="A1:X81"/>
  <sheetViews>
    <sheetView view="pageBreakPreview" zoomScale="60" zoomScaleNormal="85" zoomScalePageLayoutView="0" workbookViewId="0" topLeftCell="A1">
      <selection activeCell="X2" sqref="O2:X2"/>
    </sheetView>
  </sheetViews>
  <sheetFormatPr defaultColWidth="9.140625" defaultRowHeight="15"/>
  <cols>
    <col min="1" max="1" width="32.421875" style="0" customWidth="1"/>
    <col min="2" max="2" width="7.57421875" style="0" bestFit="1" customWidth="1"/>
    <col min="3" max="3" width="20.140625" style="0" bestFit="1" customWidth="1"/>
    <col min="4" max="4" width="26.28125" style="0" bestFit="1" customWidth="1"/>
    <col min="5" max="5" width="17.00390625" style="0" bestFit="1" customWidth="1"/>
    <col min="8" max="8" width="9.28125" style="0" customWidth="1"/>
    <col min="9" max="10" width="8.00390625" style="0" customWidth="1"/>
    <col min="11" max="11" width="73.7109375" style="0" bestFit="1" customWidth="1"/>
    <col min="12" max="12" width="12.00390625" style="0" customWidth="1"/>
    <col min="14" max="14" width="24.57421875" style="0" customWidth="1"/>
  </cols>
  <sheetData>
    <row r="1" spans="1:2" ht="15.75" thickBot="1">
      <c r="A1" s="6" t="s">
        <v>19</v>
      </c>
      <c r="B1" s="10"/>
    </row>
    <row r="2" spans="1:24" ht="135">
      <c r="A2" s="7" t="s">
        <v>5</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333</v>
      </c>
      <c r="N3" s="114" t="s">
        <v>156</v>
      </c>
      <c r="O3" s="107">
        <f>P3/Q3</f>
        <v>6.849056603773585</v>
      </c>
      <c r="P3" s="98">
        <f>B8</f>
        <v>363</v>
      </c>
      <c r="Q3" s="98">
        <f>B6</f>
        <v>53</v>
      </c>
      <c r="R3" s="98">
        <f>B16</f>
        <v>53</v>
      </c>
      <c r="S3" s="98">
        <f>C16</f>
        <v>35</v>
      </c>
      <c r="T3" s="98">
        <f>B10</f>
        <v>10</v>
      </c>
      <c r="U3" s="99">
        <f>P3-T3</f>
        <v>353</v>
      </c>
      <c r="V3" s="100">
        <f>R3*S3</f>
        <v>1855</v>
      </c>
      <c r="W3" s="118">
        <f>V3/P3</f>
        <v>5.110192837465565</v>
      </c>
      <c r="X3" s="121">
        <f>V3/U3</f>
        <v>5.254957507082153</v>
      </c>
    </row>
    <row r="4" spans="14:24" ht="15">
      <c r="N4" s="115"/>
      <c r="O4" s="108"/>
      <c r="P4" s="94"/>
      <c r="Q4" s="94"/>
      <c r="R4" s="94"/>
      <c r="S4" s="94"/>
      <c r="T4" s="94"/>
      <c r="U4" s="95"/>
      <c r="V4" s="96"/>
      <c r="W4" s="119"/>
      <c r="X4" s="122"/>
    </row>
    <row r="5" spans="1:24" ht="15">
      <c r="A5" s="28" t="s">
        <v>7</v>
      </c>
      <c r="B5" s="6" t="s">
        <v>17</v>
      </c>
      <c r="C5" s="10"/>
      <c r="D5" s="10"/>
      <c r="E5" s="10"/>
      <c r="G5" s="6" t="s">
        <v>21</v>
      </c>
      <c r="H5" s="6" t="s">
        <v>17</v>
      </c>
      <c r="I5" s="6" t="s">
        <v>18</v>
      </c>
      <c r="K5" s="20" t="str">
        <f>'Summary Sheet'!C6</f>
        <v>General Communal Area</v>
      </c>
      <c r="L5" s="182">
        <f>B3</f>
        <v>333</v>
      </c>
      <c r="N5" s="115"/>
      <c r="O5" s="108"/>
      <c r="P5" s="94"/>
      <c r="Q5" s="94"/>
      <c r="R5" s="94"/>
      <c r="S5" s="94"/>
      <c r="T5" s="94"/>
      <c r="U5" s="95"/>
      <c r="V5" s="96"/>
      <c r="W5" s="119"/>
      <c r="X5" s="123"/>
    </row>
    <row r="6" spans="1:24" ht="15">
      <c r="A6" s="8" t="s">
        <v>105</v>
      </c>
      <c r="B6" s="9">
        <v>53</v>
      </c>
      <c r="C6" s="10"/>
      <c r="D6" s="10"/>
      <c r="E6" s="10"/>
      <c r="G6" s="6" t="s">
        <v>22</v>
      </c>
      <c r="H6" s="11">
        <v>28</v>
      </c>
      <c r="I6" s="11">
        <v>28</v>
      </c>
      <c r="K6" s="20" t="str">
        <f>'Summary Sheet'!C7</f>
        <v>Kitchen / Dining / Living Area (Shared Internal Area)</v>
      </c>
      <c r="L6" s="182">
        <f>(B16*C16)</f>
        <v>1855</v>
      </c>
      <c r="N6" s="115"/>
      <c r="O6" s="108"/>
      <c r="P6" s="94"/>
      <c r="Q6" s="94"/>
      <c r="R6" s="94"/>
      <c r="S6" s="94"/>
      <c r="T6" s="94"/>
      <c r="U6" s="95"/>
      <c r="V6" s="96"/>
      <c r="W6" s="119"/>
      <c r="X6" s="123"/>
    </row>
    <row r="7" spans="1:24" ht="15">
      <c r="A7" s="10"/>
      <c r="B7" s="6" t="s">
        <v>17</v>
      </c>
      <c r="C7" s="6" t="s">
        <v>190</v>
      </c>
      <c r="D7" s="6" t="s">
        <v>191</v>
      </c>
      <c r="E7" s="6" t="s">
        <v>34</v>
      </c>
      <c r="G7" s="6" t="s">
        <v>23</v>
      </c>
      <c r="H7" s="11">
        <v>1</v>
      </c>
      <c r="I7" s="11">
        <v>30</v>
      </c>
      <c r="K7" s="20" t="str">
        <f>'Summary Sheet'!C8</f>
        <v>Total Communal Area</v>
      </c>
      <c r="L7" s="185">
        <f>SUM(L5:L6)</f>
        <v>2188</v>
      </c>
      <c r="N7" s="115"/>
      <c r="O7" s="108"/>
      <c r="P7" s="94"/>
      <c r="Q7" s="94"/>
      <c r="R7" s="94"/>
      <c r="S7" s="94"/>
      <c r="T7" s="94"/>
      <c r="U7" s="95"/>
      <c r="V7" s="96"/>
      <c r="W7" s="119"/>
      <c r="X7" s="123"/>
    </row>
    <row r="8" spans="1:24" ht="15">
      <c r="A8" s="6" t="s">
        <v>8</v>
      </c>
      <c r="B8" s="9">
        <v>363</v>
      </c>
      <c r="C8" s="9"/>
      <c r="D8" s="9"/>
      <c r="E8" s="9"/>
      <c r="G8" s="6" t="s">
        <v>24</v>
      </c>
      <c r="H8" s="11"/>
      <c r="I8" s="11"/>
      <c r="K8" s="20"/>
      <c r="L8" s="182"/>
      <c r="N8" s="115"/>
      <c r="O8" s="108"/>
      <c r="P8" s="94"/>
      <c r="Q8" s="94"/>
      <c r="R8" s="94"/>
      <c r="S8" s="94"/>
      <c r="T8" s="94"/>
      <c r="U8" s="95"/>
      <c r="V8" s="96"/>
      <c r="W8" s="119"/>
      <c r="X8" s="123"/>
    </row>
    <row r="9" spans="1:24" ht="15">
      <c r="A9" s="6" t="s">
        <v>9</v>
      </c>
      <c r="B9" s="9">
        <v>353</v>
      </c>
      <c r="C9" s="9">
        <v>14</v>
      </c>
      <c r="D9" s="9"/>
      <c r="E9" s="9"/>
      <c r="G9" s="6" t="s">
        <v>25</v>
      </c>
      <c r="H9" s="11"/>
      <c r="I9" s="11"/>
      <c r="K9" s="20"/>
      <c r="L9" s="182"/>
      <c r="N9" s="115"/>
      <c r="O9" s="108"/>
      <c r="P9" s="94"/>
      <c r="Q9" s="94"/>
      <c r="R9" s="94"/>
      <c r="S9" s="94"/>
      <c r="T9" s="94"/>
      <c r="U9" s="95"/>
      <c r="V9" s="96"/>
      <c r="W9" s="119"/>
      <c r="X9" s="123"/>
    </row>
    <row r="10" spans="1:24" ht="15">
      <c r="A10" s="6" t="s">
        <v>10</v>
      </c>
      <c r="B10" s="9">
        <v>10</v>
      </c>
      <c r="C10" s="9">
        <v>21</v>
      </c>
      <c r="D10" s="9"/>
      <c r="E10" s="9" t="s">
        <v>35</v>
      </c>
      <c r="G10" s="6" t="s">
        <v>26</v>
      </c>
      <c r="H10" s="11"/>
      <c r="I10" s="11"/>
      <c r="K10" s="20" t="str">
        <f>'Summary Sheet'!C10</f>
        <v>Number of Bedrooms (cluster &amp; studio) (non Accessible)</v>
      </c>
      <c r="L10" s="6">
        <f>B9+H6+H7</f>
        <v>382</v>
      </c>
      <c r="N10" s="115"/>
      <c r="O10" s="108"/>
      <c r="P10" s="94"/>
      <c r="Q10" s="94"/>
      <c r="R10" s="94"/>
      <c r="S10" s="94"/>
      <c r="T10" s="94"/>
      <c r="U10" s="95"/>
      <c r="V10" s="96"/>
      <c r="W10" s="119"/>
      <c r="X10" s="123"/>
    </row>
    <row r="11" spans="1:24" ht="15">
      <c r="A11" s="6" t="s">
        <v>11</v>
      </c>
      <c r="B11" s="9"/>
      <c r="C11" s="9"/>
      <c r="D11" s="9"/>
      <c r="E11" s="9"/>
      <c r="G11" s="6" t="s">
        <v>27</v>
      </c>
      <c r="H11" s="11"/>
      <c r="I11" s="11"/>
      <c r="K11" s="20" t="str">
        <f>'Summary Sheet'!C11</f>
        <v>Total Area of Bedrooms (cluster &amp; studio) (non Accessible)</v>
      </c>
      <c r="L11" s="182">
        <f>(B9*C9)+(H6*I6)+(H7*I7)</f>
        <v>5756</v>
      </c>
      <c r="N11" s="115"/>
      <c r="O11" s="108"/>
      <c r="P11" s="94"/>
      <c r="Q11" s="94"/>
      <c r="R11" s="94"/>
      <c r="S11" s="94"/>
      <c r="T11" s="94"/>
      <c r="U11" s="96"/>
      <c r="V11" s="96"/>
      <c r="W11" s="119"/>
      <c r="X11" s="123"/>
    </row>
    <row r="12" spans="1:24" ht="15">
      <c r="A12" s="6" t="s">
        <v>12</v>
      </c>
      <c r="B12" s="9"/>
      <c r="C12" s="9"/>
      <c r="D12" s="9"/>
      <c r="E12" s="9"/>
      <c r="G12" s="6" t="s">
        <v>28</v>
      </c>
      <c r="H12" s="11"/>
      <c r="I12" s="11"/>
      <c r="K12" s="20" t="str">
        <f>'Summary Sheet'!C12</f>
        <v>Average size of Bedroom (cluster &amp; studio) (non Accessible)</v>
      </c>
      <c r="L12" s="185">
        <f>L11/L10</f>
        <v>15.06806282722513</v>
      </c>
      <c r="N12" s="115"/>
      <c r="O12" s="108"/>
      <c r="P12" s="94"/>
      <c r="Q12" s="94"/>
      <c r="R12" s="94"/>
      <c r="S12" s="94"/>
      <c r="T12" s="94"/>
      <c r="U12" s="95"/>
      <c r="V12" s="96"/>
      <c r="W12" s="119"/>
      <c r="X12" s="123"/>
    </row>
    <row r="13" spans="1:24" ht="15">
      <c r="A13" s="6" t="s">
        <v>13</v>
      </c>
      <c r="B13" s="9"/>
      <c r="C13" s="9"/>
      <c r="D13" s="9"/>
      <c r="E13" s="9"/>
      <c r="G13" s="6" t="s">
        <v>29</v>
      </c>
      <c r="H13" s="11"/>
      <c r="I13" s="11"/>
      <c r="K13" s="20"/>
      <c r="L13" s="185"/>
      <c r="N13" s="115"/>
      <c r="O13" s="108"/>
      <c r="P13" s="94"/>
      <c r="Q13" s="94"/>
      <c r="R13" s="94"/>
      <c r="S13" s="94"/>
      <c r="T13" s="94"/>
      <c r="U13" s="95"/>
      <c r="V13" s="96"/>
      <c r="W13" s="119"/>
      <c r="X13" s="123"/>
    </row>
    <row r="14" spans="1:24" ht="15">
      <c r="A14" s="6" t="s">
        <v>14</v>
      </c>
      <c r="B14" s="9"/>
      <c r="C14" s="9"/>
      <c r="D14" s="9"/>
      <c r="E14" s="9"/>
      <c r="G14" s="6" t="s">
        <v>30</v>
      </c>
      <c r="H14" s="11"/>
      <c r="I14" s="11"/>
      <c r="K14" s="20" t="str">
        <f>'Summary Sheet'!C14</f>
        <v>Number of Cluster Bedrooms (non Accessible)</v>
      </c>
      <c r="L14" s="186">
        <f>B9</f>
        <v>353</v>
      </c>
      <c r="N14" s="115"/>
      <c r="O14" s="108"/>
      <c r="P14" s="94"/>
      <c r="Q14" s="94"/>
      <c r="R14" s="94"/>
      <c r="S14" s="94"/>
      <c r="T14" s="94"/>
      <c r="U14" s="95"/>
      <c r="V14" s="96"/>
      <c r="W14" s="119"/>
      <c r="X14" s="123"/>
    </row>
    <row r="15" spans="1:24" ht="15">
      <c r="A15" s="10"/>
      <c r="B15" s="6" t="s">
        <v>17</v>
      </c>
      <c r="C15" s="6" t="s">
        <v>18</v>
      </c>
      <c r="D15" s="10"/>
      <c r="E15" s="10"/>
      <c r="G15" s="6" t="s">
        <v>31</v>
      </c>
      <c r="H15" s="11"/>
      <c r="I15" s="11"/>
      <c r="K15" s="20" t="str">
        <f>'Summary Sheet'!C15</f>
        <v>Total Area of Cluster Bedrooms (non Accessible)</v>
      </c>
      <c r="L15" s="6">
        <f>B9*C9</f>
        <v>4942</v>
      </c>
      <c r="N15" s="115"/>
      <c r="O15" s="108"/>
      <c r="P15" s="94"/>
      <c r="Q15" s="94"/>
      <c r="R15" s="94"/>
      <c r="S15" s="94"/>
      <c r="T15" s="94"/>
      <c r="U15" s="95"/>
      <c r="V15" s="96"/>
      <c r="W15" s="119"/>
      <c r="X15" s="123"/>
    </row>
    <row r="16" spans="1:24" ht="15">
      <c r="A16" s="6" t="s">
        <v>16</v>
      </c>
      <c r="B16" s="14">
        <v>53</v>
      </c>
      <c r="C16" s="9">
        <v>35</v>
      </c>
      <c r="D16" s="10"/>
      <c r="E16" s="10"/>
      <c r="G16" s="6" t="s">
        <v>32</v>
      </c>
      <c r="H16" s="11"/>
      <c r="I16" s="11"/>
      <c r="K16" s="20" t="str">
        <f>'Summary Sheet'!C16</f>
        <v>Average Size of Cluster Bedroom (non Accessible)</v>
      </c>
      <c r="L16" s="187">
        <f>L15/L14</f>
        <v>14</v>
      </c>
      <c r="N16" s="115"/>
      <c r="O16" s="108"/>
      <c r="P16" s="94"/>
      <c r="Q16" s="94"/>
      <c r="R16" s="94"/>
      <c r="S16" s="94"/>
      <c r="T16" s="94"/>
      <c r="U16" s="95"/>
      <c r="V16" s="96"/>
      <c r="W16" s="119"/>
      <c r="X16" s="123"/>
    </row>
    <row r="17" spans="1:24" ht="15">
      <c r="A17" s="6" t="s">
        <v>15</v>
      </c>
      <c r="B17" s="9"/>
      <c r="C17" s="9"/>
      <c r="D17" s="10"/>
      <c r="E17" s="10"/>
      <c r="G17" s="6" t="s">
        <v>33</v>
      </c>
      <c r="H17" s="11"/>
      <c r="I17" s="11"/>
      <c r="K17" s="20"/>
      <c r="L17" s="188"/>
      <c r="N17" s="115"/>
      <c r="O17" s="108"/>
      <c r="P17" s="94"/>
      <c r="Q17" s="94"/>
      <c r="R17" s="94"/>
      <c r="S17" s="94"/>
      <c r="T17" s="94"/>
      <c r="U17" s="95"/>
      <c r="V17" s="96"/>
      <c r="W17" s="119"/>
      <c r="X17" s="123"/>
    </row>
    <row r="18" spans="11:24" ht="15">
      <c r="K18" s="20" t="str">
        <f>'Summary Sheet'!C18</f>
        <v>Number of Studio Bedspaces (non Accessible)</v>
      </c>
      <c r="L18" s="186">
        <f>H6+H7</f>
        <v>29</v>
      </c>
      <c r="N18" s="115"/>
      <c r="O18" s="108"/>
      <c r="P18" s="94"/>
      <c r="Q18" s="94"/>
      <c r="R18" s="94"/>
      <c r="S18" s="94"/>
      <c r="T18" s="94"/>
      <c r="U18" s="95"/>
      <c r="V18" s="96"/>
      <c r="W18" s="119"/>
      <c r="X18" s="123"/>
    </row>
    <row r="19" spans="11:24" ht="15">
      <c r="K19" s="20" t="str">
        <f>'Summary Sheet'!C19</f>
        <v>Total Area of Studio Bedspace (non Accessible)</v>
      </c>
      <c r="L19" s="186">
        <f>(H6*I6)+(H7*I7)</f>
        <v>814</v>
      </c>
      <c r="N19" s="115"/>
      <c r="O19" s="108"/>
      <c r="P19" s="94"/>
      <c r="Q19" s="94"/>
      <c r="R19" s="94"/>
      <c r="S19" s="94"/>
      <c r="T19" s="94"/>
      <c r="U19" s="95"/>
      <c r="V19" s="96"/>
      <c r="W19" s="119"/>
      <c r="X19" s="123"/>
    </row>
    <row r="20" spans="11:24" ht="15">
      <c r="K20" s="20" t="str">
        <f>'Summary Sheet'!C20</f>
        <v>Average Size of Studio Bedspaces (non Accessible)</v>
      </c>
      <c r="L20" s="189">
        <f>L19/L18</f>
        <v>28.06896551724138</v>
      </c>
      <c r="N20" s="115"/>
      <c r="O20" s="108"/>
      <c r="P20" s="94"/>
      <c r="Q20" s="94"/>
      <c r="R20" s="94"/>
      <c r="S20" s="94"/>
      <c r="T20" s="94"/>
      <c r="U20" s="95"/>
      <c r="V20" s="96"/>
      <c r="W20" s="119"/>
      <c r="X20" s="123"/>
    </row>
    <row r="21" spans="1:24" ht="15">
      <c r="A21" s="16"/>
      <c r="B21" s="15"/>
      <c r="C21" s="3"/>
      <c r="D21" s="3"/>
      <c r="E21" s="3"/>
      <c r="K21" s="20"/>
      <c r="L21" s="182"/>
      <c r="N21" s="115"/>
      <c r="O21" s="108"/>
      <c r="P21" s="94"/>
      <c r="Q21" s="94"/>
      <c r="R21" s="94"/>
      <c r="S21" s="94"/>
      <c r="T21" s="94"/>
      <c r="U21" s="95"/>
      <c r="V21" s="96"/>
      <c r="W21" s="119"/>
      <c r="X21" s="123"/>
    </row>
    <row r="22" spans="1:24" ht="15">
      <c r="A22" s="17"/>
      <c r="B22" s="18"/>
      <c r="C22" s="3"/>
      <c r="D22" s="3"/>
      <c r="E22" s="3"/>
      <c r="K22" s="6" t="str">
        <f>'Summary Sheet'!C24</f>
        <v>Total Number of Bedrooms Inc Accessible</v>
      </c>
      <c r="L22" s="6">
        <f>L10+B10</f>
        <v>392</v>
      </c>
      <c r="N22" s="115"/>
      <c r="O22" s="108"/>
      <c r="P22" s="94"/>
      <c r="Q22" s="94"/>
      <c r="R22" s="94"/>
      <c r="S22" s="94"/>
      <c r="T22" s="94"/>
      <c r="U22" s="95"/>
      <c r="V22" s="96"/>
      <c r="W22" s="119"/>
      <c r="X22" s="123"/>
    </row>
    <row r="23" spans="1:24" ht="15">
      <c r="A23" s="3"/>
      <c r="B23" s="15"/>
      <c r="C23" s="15"/>
      <c r="D23" s="15"/>
      <c r="E23" s="15"/>
      <c r="K23" s="6" t="str">
        <f>'Summary Sheet'!C26</f>
        <v>Number of Accessible Bedrooms</v>
      </c>
      <c r="L23" s="6">
        <f>L22-L10</f>
        <v>10</v>
      </c>
      <c r="N23" s="115"/>
      <c r="O23" s="108"/>
      <c r="P23" s="94"/>
      <c r="Q23" s="94"/>
      <c r="R23" s="94"/>
      <c r="S23" s="94"/>
      <c r="T23" s="94"/>
      <c r="U23" s="95"/>
      <c r="V23" s="96"/>
      <c r="W23" s="119"/>
      <c r="X23" s="123"/>
    </row>
    <row r="24" spans="1:24" ht="15">
      <c r="A24" s="15"/>
      <c r="B24" s="18"/>
      <c r="C24" s="18"/>
      <c r="D24" s="18"/>
      <c r="E24" s="18"/>
      <c r="K24" s="198" t="str">
        <f>'Summary Sheet'!C27</f>
        <v>Average Size of Accessible Bedroom</v>
      </c>
      <c r="L24" s="199">
        <f>(B10*C10)/L23</f>
        <v>21</v>
      </c>
      <c r="N24" s="115"/>
      <c r="O24" s="108"/>
      <c r="P24" s="94"/>
      <c r="Q24" s="94"/>
      <c r="R24" s="94"/>
      <c r="S24" s="94"/>
      <c r="T24" s="94"/>
      <c r="U24" s="95"/>
      <c r="V24" s="96"/>
      <c r="W24" s="119"/>
      <c r="X24" s="123"/>
    </row>
    <row r="25" spans="1:24" ht="15">
      <c r="A25" s="15"/>
      <c r="B25" s="18"/>
      <c r="C25" s="18"/>
      <c r="D25" s="18"/>
      <c r="E25" s="18"/>
      <c r="K25" s="201"/>
      <c r="L25" s="202"/>
      <c r="N25" s="115"/>
      <c r="O25" s="108"/>
      <c r="P25" s="94"/>
      <c r="Q25" s="94"/>
      <c r="R25" s="94"/>
      <c r="S25" s="94"/>
      <c r="T25" s="94"/>
      <c r="U25" s="95"/>
      <c r="V25" s="96"/>
      <c r="W25" s="119"/>
      <c r="X25" s="123"/>
    </row>
    <row r="26" spans="1:24" ht="15">
      <c r="A26" s="15"/>
      <c r="B26" s="18"/>
      <c r="C26" s="18"/>
      <c r="D26" s="18"/>
      <c r="E26" s="18"/>
      <c r="K26" s="12"/>
      <c r="L26" s="12"/>
      <c r="N26" s="115"/>
      <c r="O26" s="108"/>
      <c r="P26" s="94"/>
      <c r="Q26" s="94"/>
      <c r="R26" s="94"/>
      <c r="S26" s="94"/>
      <c r="T26" s="94"/>
      <c r="U26" s="95"/>
      <c r="V26" s="96"/>
      <c r="W26" s="119"/>
      <c r="X26" s="123"/>
    </row>
    <row r="27" spans="1:24" ht="15">
      <c r="A27" s="15"/>
      <c r="B27" s="18"/>
      <c r="C27" s="18"/>
      <c r="D27" s="18"/>
      <c r="E27" s="18"/>
      <c r="K27" s="2"/>
      <c r="L27" s="2"/>
      <c r="N27" s="115"/>
      <c r="O27" s="108"/>
      <c r="P27" s="94"/>
      <c r="Q27" s="94"/>
      <c r="R27" s="94"/>
      <c r="S27" s="94"/>
      <c r="T27" s="94"/>
      <c r="U27" s="95"/>
      <c r="V27" s="96"/>
      <c r="W27" s="119"/>
      <c r="X27" s="123"/>
    </row>
    <row r="28" spans="1:24" ht="15">
      <c r="A28" s="15"/>
      <c r="B28" s="18"/>
      <c r="C28" s="18"/>
      <c r="D28" s="18"/>
      <c r="E28" s="18"/>
      <c r="N28" s="115"/>
      <c r="O28" s="108"/>
      <c r="P28" s="94"/>
      <c r="Q28" s="94"/>
      <c r="R28" s="94"/>
      <c r="S28" s="94"/>
      <c r="T28" s="94"/>
      <c r="U28" s="95"/>
      <c r="V28" s="96"/>
      <c r="W28" s="119"/>
      <c r="X28" s="123"/>
    </row>
    <row r="29" spans="1:24" ht="15">
      <c r="A29" s="15"/>
      <c r="B29" s="18"/>
      <c r="C29" s="18"/>
      <c r="D29" s="18"/>
      <c r="E29" s="18"/>
      <c r="N29" s="115"/>
      <c r="O29" s="108"/>
      <c r="P29" s="94"/>
      <c r="Q29" s="94"/>
      <c r="R29" s="94"/>
      <c r="S29" s="94"/>
      <c r="T29" s="94"/>
      <c r="U29" s="95"/>
      <c r="V29" s="96"/>
      <c r="W29" s="119"/>
      <c r="X29" s="123"/>
    </row>
    <row r="30" spans="1:24" ht="15">
      <c r="A30" s="15"/>
      <c r="B30" s="18"/>
      <c r="C30" s="18"/>
      <c r="D30" s="18"/>
      <c r="E30" s="18"/>
      <c r="N30" s="115"/>
      <c r="O30" s="108"/>
      <c r="P30" s="94"/>
      <c r="Q30" s="94"/>
      <c r="R30" s="94"/>
      <c r="S30" s="94"/>
      <c r="T30" s="94"/>
      <c r="U30" s="95"/>
      <c r="V30" s="96"/>
      <c r="W30" s="119"/>
      <c r="X30" s="123"/>
    </row>
    <row r="31" spans="1:24" ht="15">
      <c r="A31" s="3"/>
      <c r="B31" s="15"/>
      <c r="C31" s="15"/>
      <c r="D31" s="3"/>
      <c r="E31" s="3"/>
      <c r="N31" s="115"/>
      <c r="O31" s="108"/>
      <c r="P31" s="94"/>
      <c r="Q31" s="94"/>
      <c r="R31" s="94"/>
      <c r="S31" s="94"/>
      <c r="T31" s="94"/>
      <c r="U31" s="95"/>
      <c r="V31" s="96"/>
      <c r="W31" s="119"/>
      <c r="X31" s="123"/>
    </row>
    <row r="32" spans="1:24" ht="15">
      <c r="A32" s="15"/>
      <c r="B32" s="18"/>
      <c r="C32" s="18"/>
      <c r="D32" s="3"/>
      <c r="E32" s="3"/>
      <c r="N32" s="115"/>
      <c r="O32" s="108"/>
      <c r="P32" s="94"/>
      <c r="Q32" s="94"/>
      <c r="R32" s="94"/>
      <c r="S32" s="94"/>
      <c r="T32" s="94"/>
      <c r="U32" s="95"/>
      <c r="V32" s="96"/>
      <c r="W32" s="119"/>
      <c r="X32" s="123"/>
    </row>
    <row r="33" spans="1:24" ht="15">
      <c r="A33" s="15"/>
      <c r="B33" s="18"/>
      <c r="C33" s="18"/>
      <c r="D33" s="3"/>
      <c r="E33" s="3"/>
      <c r="N33" s="115"/>
      <c r="O33" s="108"/>
      <c r="P33" s="94"/>
      <c r="Q33" s="94"/>
      <c r="R33" s="94"/>
      <c r="S33" s="94"/>
      <c r="T33" s="94"/>
      <c r="U33" s="95"/>
      <c r="V33" s="96"/>
      <c r="W33" s="119"/>
      <c r="X33" s="123"/>
    </row>
    <row r="34" spans="1:24" ht="15">
      <c r="A34" s="3"/>
      <c r="B34" s="3"/>
      <c r="C34" s="3"/>
      <c r="D34" s="3"/>
      <c r="E34" s="3"/>
      <c r="N34" s="112"/>
      <c r="O34" s="108"/>
      <c r="P34" s="94"/>
      <c r="Q34" s="94"/>
      <c r="R34" s="94"/>
      <c r="S34" s="94"/>
      <c r="T34" s="94"/>
      <c r="U34" s="95"/>
      <c r="V34" s="96"/>
      <c r="W34" s="119"/>
      <c r="X34" s="123"/>
    </row>
    <row r="35" spans="1:24" ht="15.75" thickBot="1">
      <c r="A35" s="3"/>
      <c r="B35" s="3"/>
      <c r="C35" s="3"/>
      <c r="D35" s="3"/>
      <c r="E35" s="3"/>
      <c r="N35" s="113"/>
      <c r="O35" s="125"/>
      <c r="P35" s="97"/>
      <c r="Q35" s="97"/>
      <c r="R35" s="97"/>
      <c r="S35" s="97"/>
      <c r="T35" s="97"/>
      <c r="U35" s="116"/>
      <c r="V35" s="117"/>
      <c r="W35" s="120"/>
      <c r="X35" s="124"/>
    </row>
    <row r="36" spans="1:5" ht="15">
      <c r="A36" s="3"/>
      <c r="B36" s="3"/>
      <c r="C36" s="3"/>
      <c r="D36" s="3"/>
      <c r="E36" s="3"/>
    </row>
    <row r="37" spans="1:24" ht="15">
      <c r="A37" s="16"/>
      <c r="B37" s="15"/>
      <c r="C37" s="3"/>
      <c r="D37" s="3"/>
      <c r="E37" s="3"/>
      <c r="N37" t="str">
        <f>'Summary Sheet'!C34</f>
        <v>Number of Beds  in Each Cluster</v>
      </c>
      <c r="O37">
        <f>'Summary Sheet'!D34</f>
        <v>3</v>
      </c>
      <c r="P37">
        <f aca="true" t="shared" si="0" ref="P37:V37">SUMIF($O$3:$O$35,$O37,P$3:P$35)</f>
        <v>0</v>
      </c>
      <c r="Q37">
        <f t="shared" si="0"/>
        <v>0</v>
      </c>
      <c r="R37">
        <f t="shared" si="0"/>
        <v>0</v>
      </c>
      <c r="S37">
        <f t="shared" si="0"/>
        <v>0</v>
      </c>
      <c r="T37">
        <f t="shared" si="0"/>
        <v>0</v>
      </c>
      <c r="U37">
        <f t="shared" si="0"/>
        <v>0</v>
      </c>
      <c r="V37">
        <f t="shared" si="0"/>
        <v>0</v>
      </c>
      <c r="W37" s="21">
        <f>_xlfn.IFERROR(V37/P37,"")</f>
      </c>
      <c r="X37" s="21">
        <f>_xlfn.IFERROR(V37/U37,"")</f>
      </c>
    </row>
    <row r="38" spans="1:24" ht="15">
      <c r="A38" s="17"/>
      <c r="B38" s="18"/>
      <c r="C38" s="3"/>
      <c r="D38" s="3"/>
      <c r="E38" s="3"/>
      <c r="N38">
        <f>'Summary Sheet'!C35</f>
        <v>0</v>
      </c>
      <c r="O38">
        <f>'Summary Sheet'!D35</f>
        <v>4</v>
      </c>
      <c r="P38">
        <f>SUMIF($O$3:O36,O38,$P$3:$P$35)</f>
        <v>0</v>
      </c>
      <c r="Q38">
        <f aca="true" t="shared" si="1" ref="Q38:V44">SUMIF($O$3:$O$35,$O38,Q$3:Q$35)</f>
        <v>0</v>
      </c>
      <c r="R38">
        <f t="shared" si="1"/>
        <v>0</v>
      </c>
      <c r="S38">
        <f t="shared" si="1"/>
        <v>0</v>
      </c>
      <c r="T38">
        <f t="shared" si="1"/>
        <v>0</v>
      </c>
      <c r="U38">
        <f t="shared" si="1"/>
        <v>0</v>
      </c>
      <c r="V38">
        <f t="shared" si="1"/>
        <v>0</v>
      </c>
      <c r="W38" s="21">
        <f aca="true" t="shared" si="2" ref="W38:W44">_xlfn.IFERROR(V38/P38,"")</f>
      </c>
      <c r="X38" s="21">
        <f aca="true" t="shared" si="3" ref="X38:X44">_xlfn.IFERROR(V38/U38,"")</f>
      </c>
    </row>
    <row r="39" spans="1:24" ht="15">
      <c r="A39" s="3"/>
      <c r="B39" s="15"/>
      <c r="C39" s="15"/>
      <c r="D39" s="15"/>
      <c r="E39" s="15"/>
      <c r="N39">
        <f>'Summary Sheet'!C36</f>
        <v>0</v>
      </c>
      <c r="O39">
        <f>'Summary Sheet'!D36</f>
        <v>5</v>
      </c>
      <c r="P39">
        <f>SUMIF($O$3:O36,O39,$P$3:$P$35)</f>
        <v>0</v>
      </c>
      <c r="Q39">
        <f t="shared" si="1"/>
        <v>0</v>
      </c>
      <c r="R39">
        <f t="shared" si="1"/>
        <v>0</v>
      </c>
      <c r="S39">
        <f t="shared" si="1"/>
        <v>0</v>
      </c>
      <c r="T39">
        <f t="shared" si="1"/>
        <v>0</v>
      </c>
      <c r="U39">
        <f t="shared" si="1"/>
        <v>0</v>
      </c>
      <c r="V39">
        <f t="shared" si="1"/>
        <v>0</v>
      </c>
      <c r="W39" s="21">
        <f t="shared" si="2"/>
      </c>
      <c r="X39" s="21">
        <f t="shared" si="3"/>
      </c>
    </row>
    <row r="40" spans="1:24" ht="15">
      <c r="A40" s="15"/>
      <c r="B40" s="18"/>
      <c r="C40" s="18"/>
      <c r="D40" s="18"/>
      <c r="E40" s="18"/>
      <c r="N40">
        <f>'Summary Sheet'!C37</f>
        <v>0</v>
      </c>
      <c r="O40">
        <f>'Summary Sheet'!D37</f>
        <v>6</v>
      </c>
      <c r="P40">
        <f>SUMIF($O$3:O36,O40,$P$3:$P$35)</f>
        <v>0</v>
      </c>
      <c r="Q40">
        <f t="shared" si="1"/>
        <v>0</v>
      </c>
      <c r="R40">
        <f t="shared" si="1"/>
        <v>0</v>
      </c>
      <c r="S40">
        <f t="shared" si="1"/>
        <v>0</v>
      </c>
      <c r="T40">
        <f t="shared" si="1"/>
        <v>0</v>
      </c>
      <c r="U40">
        <f t="shared" si="1"/>
        <v>0</v>
      </c>
      <c r="V40">
        <f t="shared" si="1"/>
        <v>0</v>
      </c>
      <c r="W40" s="21">
        <f t="shared" si="2"/>
      </c>
      <c r="X40" s="27">
        <f t="shared" si="3"/>
      </c>
    </row>
    <row r="41" spans="1:24" ht="15">
      <c r="A41" s="15"/>
      <c r="B41" s="18"/>
      <c r="C41" s="18"/>
      <c r="D41" s="18"/>
      <c r="E41" s="18"/>
      <c r="N41">
        <f>'Summary Sheet'!C38</f>
        <v>0</v>
      </c>
      <c r="O41">
        <f>'Summary Sheet'!D38</f>
        <v>7</v>
      </c>
      <c r="P41">
        <f>SUMIF($O$3:O36,O41,$P$3:$P$35)</f>
        <v>0</v>
      </c>
      <c r="Q41">
        <f t="shared" si="1"/>
        <v>0</v>
      </c>
      <c r="R41">
        <f t="shared" si="1"/>
        <v>0</v>
      </c>
      <c r="S41">
        <f t="shared" si="1"/>
        <v>0</v>
      </c>
      <c r="T41">
        <f t="shared" si="1"/>
        <v>0</v>
      </c>
      <c r="U41">
        <f t="shared" si="1"/>
        <v>0</v>
      </c>
      <c r="V41">
        <f t="shared" si="1"/>
        <v>0</v>
      </c>
      <c r="W41" s="21">
        <f t="shared" si="2"/>
      </c>
      <c r="X41" s="21">
        <f t="shared" si="3"/>
      </c>
    </row>
    <row r="42" spans="1:24" ht="15">
      <c r="A42" s="15"/>
      <c r="B42" s="18"/>
      <c r="C42" s="18"/>
      <c r="D42" s="18"/>
      <c r="E42" s="18"/>
      <c r="N42">
        <f>'Summary Sheet'!C39</f>
        <v>0</v>
      </c>
      <c r="O42">
        <f>'Summary Sheet'!D39</f>
        <v>8</v>
      </c>
      <c r="P42">
        <f>SUMIF($O$3:O36,O42,$P$3:$P$35)</f>
        <v>0</v>
      </c>
      <c r="Q42">
        <f t="shared" si="1"/>
        <v>0</v>
      </c>
      <c r="R42">
        <f t="shared" si="1"/>
        <v>0</v>
      </c>
      <c r="S42">
        <f t="shared" si="1"/>
        <v>0</v>
      </c>
      <c r="T42">
        <f t="shared" si="1"/>
        <v>0</v>
      </c>
      <c r="U42">
        <f t="shared" si="1"/>
        <v>0</v>
      </c>
      <c r="V42">
        <f t="shared" si="1"/>
        <v>0</v>
      </c>
      <c r="W42" s="21">
        <f t="shared" si="2"/>
      </c>
      <c r="X42" s="21">
        <f t="shared" si="3"/>
      </c>
    </row>
    <row r="43" spans="1:24" ht="15">
      <c r="A43" s="15"/>
      <c r="B43" s="18"/>
      <c r="C43" s="18"/>
      <c r="D43" s="18"/>
      <c r="E43" s="18"/>
      <c r="N43">
        <f>'Summary Sheet'!C40</f>
        <v>0</v>
      </c>
      <c r="O43">
        <f>'Summary Sheet'!D40</f>
        <v>9</v>
      </c>
      <c r="P43">
        <f>SUMIF($O$3:O36,O43,$P$3:$P$35)</f>
        <v>0</v>
      </c>
      <c r="Q43">
        <f t="shared" si="1"/>
        <v>0</v>
      </c>
      <c r="R43">
        <f t="shared" si="1"/>
        <v>0</v>
      </c>
      <c r="S43">
        <f t="shared" si="1"/>
        <v>0</v>
      </c>
      <c r="T43">
        <f t="shared" si="1"/>
        <v>0</v>
      </c>
      <c r="U43">
        <f t="shared" si="1"/>
        <v>0</v>
      </c>
      <c r="V43">
        <f t="shared" si="1"/>
        <v>0</v>
      </c>
      <c r="W43" s="21">
        <f t="shared" si="2"/>
      </c>
      <c r="X43" s="21">
        <f t="shared" si="3"/>
      </c>
    </row>
    <row r="44" spans="1:24" ht="15">
      <c r="A44" s="15"/>
      <c r="B44" s="18"/>
      <c r="C44" s="18"/>
      <c r="D44" s="18"/>
      <c r="E44" s="18"/>
      <c r="N44">
        <f>'Summary Sheet'!C41</f>
        <v>0</v>
      </c>
      <c r="O44">
        <f>'Summary Sheet'!D41</f>
        <v>10</v>
      </c>
      <c r="P44">
        <f>SUMIF($O$3:O36,O44,$P$3:$P$35)</f>
        <v>0</v>
      </c>
      <c r="Q44">
        <f t="shared" si="1"/>
        <v>0</v>
      </c>
      <c r="R44">
        <f t="shared" si="1"/>
        <v>0</v>
      </c>
      <c r="S44">
        <f t="shared" si="1"/>
        <v>0</v>
      </c>
      <c r="T44">
        <f t="shared" si="1"/>
        <v>0</v>
      </c>
      <c r="U44">
        <f t="shared" si="1"/>
        <v>0</v>
      </c>
      <c r="V44">
        <f t="shared" si="1"/>
        <v>0</v>
      </c>
      <c r="W44" s="21">
        <f t="shared" si="2"/>
      </c>
      <c r="X44" s="21">
        <f t="shared" si="3"/>
      </c>
    </row>
    <row r="45" spans="1:5" ht="15">
      <c r="A45" s="15"/>
      <c r="B45" s="18"/>
      <c r="C45" s="18"/>
      <c r="D45" s="18"/>
      <c r="E45" s="18"/>
    </row>
    <row r="46" spans="1:5" ht="15">
      <c r="A46" s="15"/>
      <c r="B46" s="18"/>
      <c r="C46" s="18"/>
      <c r="D46" s="18"/>
      <c r="E46" s="18"/>
    </row>
    <row r="47" spans="1:5" ht="15">
      <c r="A47" s="3"/>
      <c r="B47" s="15"/>
      <c r="C47" s="15"/>
      <c r="D47" s="3"/>
      <c r="E47" s="3"/>
    </row>
    <row r="48" spans="1:5" ht="15">
      <c r="A48" s="15"/>
      <c r="B48" s="18"/>
      <c r="C48" s="18"/>
      <c r="D48" s="3"/>
      <c r="E48" s="3"/>
    </row>
    <row r="49" spans="1:5" ht="15">
      <c r="A49" s="15"/>
      <c r="B49" s="18"/>
      <c r="C49" s="18"/>
      <c r="D49" s="3"/>
      <c r="E49" s="3"/>
    </row>
    <row r="50" spans="1:5" ht="15">
      <c r="A50" s="3"/>
      <c r="B50" s="3"/>
      <c r="C50" s="3"/>
      <c r="D50" s="3"/>
      <c r="E50" s="3"/>
    </row>
    <row r="51" spans="1:5" ht="15">
      <c r="A51" s="3"/>
      <c r="B51" s="3"/>
      <c r="C51" s="3"/>
      <c r="D51" s="3"/>
      <c r="E51" s="3"/>
    </row>
    <row r="52" spans="1:5" ht="15">
      <c r="A52" s="3"/>
      <c r="B52" s="3"/>
      <c r="C52" s="3"/>
      <c r="D52" s="3"/>
      <c r="E52" s="3"/>
    </row>
    <row r="53" spans="1:5" ht="15">
      <c r="A53" s="16"/>
      <c r="B53" s="15"/>
      <c r="C53" s="3"/>
      <c r="D53" s="3"/>
      <c r="E53" s="3"/>
    </row>
    <row r="54" spans="1:5" ht="15">
      <c r="A54" s="17"/>
      <c r="B54" s="18"/>
      <c r="C54" s="3"/>
      <c r="D54" s="3"/>
      <c r="E54" s="3"/>
    </row>
    <row r="55" spans="1:5" ht="15">
      <c r="A55" s="3"/>
      <c r="B55" s="15"/>
      <c r="C55" s="15"/>
      <c r="D55" s="15"/>
      <c r="E55" s="15"/>
    </row>
    <row r="56" spans="1:5" ht="15">
      <c r="A56" s="15"/>
      <c r="B56" s="18"/>
      <c r="C56" s="18"/>
      <c r="D56" s="18"/>
      <c r="E56" s="18"/>
    </row>
    <row r="57" spans="1:5" ht="15">
      <c r="A57" s="15"/>
      <c r="B57" s="18"/>
      <c r="C57" s="18"/>
      <c r="D57" s="18"/>
      <c r="E57" s="18"/>
    </row>
    <row r="58" spans="1:5" ht="15">
      <c r="A58" s="15"/>
      <c r="B58" s="18"/>
      <c r="C58" s="18"/>
      <c r="D58" s="18"/>
      <c r="E58" s="18"/>
    </row>
    <row r="59" spans="1:5" ht="15">
      <c r="A59" s="15"/>
      <c r="B59" s="18"/>
      <c r="C59" s="18"/>
      <c r="D59" s="18"/>
      <c r="E59" s="18"/>
    </row>
    <row r="60" spans="1:5" ht="15">
      <c r="A60" s="15"/>
      <c r="B60" s="18"/>
      <c r="C60" s="18"/>
      <c r="D60" s="18"/>
      <c r="E60" s="18"/>
    </row>
    <row r="61" spans="1:5" ht="15">
      <c r="A61" s="15"/>
      <c r="B61" s="18"/>
      <c r="C61" s="18"/>
      <c r="D61" s="18"/>
      <c r="E61" s="18"/>
    </row>
    <row r="62" spans="1:5" ht="15">
      <c r="A62" s="15"/>
      <c r="B62" s="18"/>
      <c r="C62" s="18"/>
      <c r="D62" s="18"/>
      <c r="E62" s="18"/>
    </row>
    <row r="63" spans="1:5" ht="15">
      <c r="A63" s="3"/>
      <c r="B63" s="15"/>
      <c r="C63" s="15"/>
      <c r="D63" s="3"/>
      <c r="E63" s="3"/>
    </row>
    <row r="64" spans="1:5" ht="15">
      <c r="A64" s="15"/>
      <c r="B64" s="18"/>
      <c r="C64" s="18"/>
      <c r="D64" s="3"/>
      <c r="E64" s="3"/>
    </row>
    <row r="65" spans="1:5" ht="15">
      <c r="A65" s="15"/>
      <c r="B65" s="18"/>
      <c r="C65" s="18"/>
      <c r="D65" s="3"/>
      <c r="E65" s="3"/>
    </row>
    <row r="66" spans="1:5" ht="15">
      <c r="A66" s="3"/>
      <c r="B66" s="3"/>
      <c r="C66" s="3"/>
      <c r="D66" s="3"/>
      <c r="E66" s="3"/>
    </row>
    <row r="67" spans="1:5" ht="15">
      <c r="A67" s="3"/>
      <c r="B67" s="3"/>
      <c r="C67" s="3"/>
      <c r="D67" s="3"/>
      <c r="E67" s="3"/>
    </row>
    <row r="68" spans="1:5" ht="15">
      <c r="A68" s="3"/>
      <c r="B68" s="3"/>
      <c r="C68" s="3"/>
      <c r="D68" s="3"/>
      <c r="E68" s="3"/>
    </row>
    <row r="69" spans="1:5" ht="15">
      <c r="A69" s="16"/>
      <c r="B69" s="15"/>
      <c r="C69" s="3"/>
      <c r="D69" s="3"/>
      <c r="E69" s="3"/>
    </row>
    <row r="70" spans="1:5" ht="15">
      <c r="A70" s="17"/>
      <c r="B70" s="18"/>
      <c r="C70" s="3"/>
      <c r="D70" s="3"/>
      <c r="E70" s="3"/>
    </row>
    <row r="71" spans="1:5" ht="15">
      <c r="A71" s="3"/>
      <c r="B71" s="15"/>
      <c r="C71" s="15"/>
      <c r="D71" s="15"/>
      <c r="E71" s="15"/>
    </row>
    <row r="72" spans="1:5" ht="15">
      <c r="A72" s="15"/>
      <c r="B72" s="18"/>
      <c r="C72" s="18"/>
      <c r="D72" s="18"/>
      <c r="E72" s="18"/>
    </row>
    <row r="73" spans="1:5" ht="15">
      <c r="A73" s="15"/>
      <c r="B73" s="18"/>
      <c r="C73" s="18"/>
      <c r="D73" s="18"/>
      <c r="E73" s="18"/>
    </row>
    <row r="74" spans="1:5" ht="15">
      <c r="A74" s="15"/>
      <c r="B74" s="18"/>
      <c r="C74" s="18"/>
      <c r="D74" s="18"/>
      <c r="E74" s="18"/>
    </row>
    <row r="75" spans="1:5" ht="15">
      <c r="A75" s="15"/>
      <c r="B75" s="18"/>
      <c r="C75" s="18"/>
      <c r="D75" s="18"/>
      <c r="E75" s="18"/>
    </row>
    <row r="76" spans="1:5" ht="15">
      <c r="A76" s="15"/>
      <c r="B76" s="18"/>
      <c r="C76" s="18"/>
      <c r="D76" s="18"/>
      <c r="E76" s="18"/>
    </row>
    <row r="77" spans="1:5" ht="15">
      <c r="A77" s="15"/>
      <c r="B77" s="18"/>
      <c r="C77" s="18"/>
      <c r="D77" s="18"/>
      <c r="E77" s="18"/>
    </row>
    <row r="78" spans="1:5" ht="15">
      <c r="A78" s="15"/>
      <c r="B78" s="18"/>
      <c r="C78" s="18"/>
      <c r="D78" s="18"/>
      <c r="E78" s="18"/>
    </row>
    <row r="79" spans="1:5" ht="15">
      <c r="A79" s="3"/>
      <c r="B79" s="15"/>
      <c r="C79" s="15"/>
      <c r="D79" s="3"/>
      <c r="E79" s="3"/>
    </row>
    <row r="80" spans="1:5" ht="15">
      <c r="A80" s="15"/>
      <c r="B80" s="18"/>
      <c r="C80" s="18"/>
      <c r="D80" s="3"/>
      <c r="E80" s="3"/>
    </row>
    <row r="81" spans="1:5" ht="15">
      <c r="A81" s="15"/>
      <c r="B81" s="18"/>
      <c r="C81" s="18"/>
      <c r="D81" s="3"/>
      <c r="E81" s="3"/>
    </row>
  </sheetData>
  <sheetProtection/>
  <printOptions/>
  <pageMargins left="0.7" right="0.7" top="0.75" bottom="0.75" header="0.3" footer="0.3"/>
  <pageSetup horizontalDpi="600" verticalDpi="600" orientation="landscape" paperSize="9" scale="81" r:id="rId1"/>
  <rowBreaks count="1" manualBreakCount="1">
    <brk id="33" max="255" man="1"/>
  </rowBreaks>
  <colBreaks count="2" manualBreakCount="2">
    <brk id="6" max="65535" man="1"/>
    <brk id="13" max="43" man="1"/>
  </colBreaks>
</worksheet>
</file>

<file path=xl/worksheets/sheet17.xml><?xml version="1.0" encoding="utf-8"?>
<worksheet xmlns="http://schemas.openxmlformats.org/spreadsheetml/2006/main" xmlns:r="http://schemas.openxmlformats.org/officeDocument/2006/relationships">
  <sheetPr>
    <tabColor theme="9"/>
  </sheetPr>
  <dimension ref="A1:L39"/>
  <sheetViews>
    <sheetView view="pageBreakPreview" zoomScale="60" zoomScaleNormal="85" zoomScalePageLayoutView="0" workbookViewId="0" topLeftCell="A4">
      <selection activeCell="K27" sqref="K27"/>
    </sheetView>
  </sheetViews>
  <sheetFormatPr defaultColWidth="9.140625" defaultRowHeight="15"/>
  <cols>
    <col min="1" max="1" width="34.28125" style="0" customWidth="1"/>
    <col min="2" max="2" width="17.7109375" style="0" customWidth="1"/>
    <col min="3" max="3" width="20.140625" style="0" bestFit="1" customWidth="1"/>
    <col min="4" max="4" width="26.28125" style="0" bestFit="1" customWidth="1"/>
    <col min="5" max="5" width="17.00390625" style="0" bestFit="1" customWidth="1"/>
    <col min="6" max="6" width="17.28125" style="0" customWidth="1"/>
    <col min="7" max="7" width="11.00390625" style="0" customWidth="1"/>
    <col min="8" max="9" width="11.8515625" style="0" customWidth="1"/>
    <col min="10" max="10" width="18.140625" style="0" customWidth="1"/>
    <col min="11" max="11" width="75.8515625" style="0" customWidth="1"/>
    <col min="12" max="12" width="14.140625" style="0" customWidth="1"/>
    <col min="14" max="14" width="24.7109375" style="0" customWidth="1"/>
  </cols>
  <sheetData>
    <row r="1" spans="1:4" ht="15">
      <c r="A1" s="6" t="s">
        <v>19</v>
      </c>
      <c r="B1" s="10"/>
      <c r="C1" s="6"/>
      <c r="D1" s="13"/>
    </row>
    <row r="2" spans="1:4" ht="15">
      <c r="A2" s="7" t="s">
        <v>138</v>
      </c>
      <c r="B2" s="10"/>
      <c r="C2" s="7"/>
      <c r="D2" s="13"/>
    </row>
    <row r="3" spans="1:4" ht="15">
      <c r="A3" s="6" t="s">
        <v>20</v>
      </c>
      <c r="B3" s="7">
        <v>0</v>
      </c>
      <c r="C3" s="6"/>
      <c r="D3" s="7"/>
    </row>
    <row r="5" spans="11:12" ht="15">
      <c r="K5" s="20" t="str">
        <f>'Summary Sheet'!C6</f>
        <v>General Communal Area</v>
      </c>
      <c r="L5" s="182">
        <f>B3</f>
        <v>0</v>
      </c>
    </row>
    <row r="6" spans="1:12" ht="15">
      <c r="A6" s="28" t="s">
        <v>7</v>
      </c>
      <c r="B6" s="6" t="s">
        <v>17</v>
      </c>
      <c r="C6" s="10"/>
      <c r="D6" s="10"/>
      <c r="E6" s="10"/>
      <c r="G6" s="6" t="s">
        <v>21</v>
      </c>
      <c r="H6" s="6" t="s">
        <v>17</v>
      </c>
      <c r="I6" s="6" t="s">
        <v>18</v>
      </c>
      <c r="K6" s="20" t="str">
        <f>'Summary Sheet'!C7</f>
        <v>Kitchen / Dining / Living Area (Shared Internal Area)</v>
      </c>
      <c r="L6" s="182">
        <f>(B17*C17)</f>
        <v>6804</v>
      </c>
    </row>
    <row r="7" spans="1:12" ht="15">
      <c r="A7" s="8" t="s">
        <v>139</v>
      </c>
      <c r="B7" s="9">
        <v>189</v>
      </c>
      <c r="C7" s="10"/>
      <c r="D7" s="10"/>
      <c r="E7" s="10"/>
      <c r="G7" s="6" t="s">
        <v>22</v>
      </c>
      <c r="H7" s="11">
        <v>20</v>
      </c>
      <c r="I7" s="11">
        <v>35</v>
      </c>
      <c r="K7" s="20" t="str">
        <f>'Summary Sheet'!C8</f>
        <v>Total Communal Area</v>
      </c>
      <c r="L7" s="185">
        <f>SUM(L5:L6)</f>
        <v>6804</v>
      </c>
    </row>
    <row r="8" spans="1:12" ht="15">
      <c r="A8" s="10"/>
      <c r="B8" s="6" t="s">
        <v>17</v>
      </c>
      <c r="C8" s="6" t="s">
        <v>190</v>
      </c>
      <c r="D8" s="6" t="s">
        <v>191</v>
      </c>
      <c r="E8" s="6" t="s">
        <v>34</v>
      </c>
      <c r="G8" s="6" t="s">
        <v>23</v>
      </c>
      <c r="H8" s="11"/>
      <c r="I8" s="11"/>
      <c r="K8" s="20"/>
      <c r="L8" s="182"/>
    </row>
    <row r="9" spans="1:12" ht="15">
      <c r="A9" s="6" t="s">
        <v>8</v>
      </c>
      <c r="B9" s="9">
        <v>948</v>
      </c>
      <c r="C9" s="9"/>
      <c r="D9" s="9"/>
      <c r="E9" s="9"/>
      <c r="G9" s="6" t="s">
        <v>24</v>
      </c>
      <c r="H9" s="11"/>
      <c r="I9" s="11"/>
      <c r="K9" s="20"/>
      <c r="L9" s="182"/>
    </row>
    <row r="10" spans="1:12" ht="15">
      <c r="A10" s="6" t="s">
        <v>9</v>
      </c>
      <c r="B10" s="9">
        <v>905</v>
      </c>
      <c r="C10" s="9">
        <v>13</v>
      </c>
      <c r="D10" s="9"/>
      <c r="E10" s="9"/>
      <c r="G10" s="6" t="s">
        <v>25</v>
      </c>
      <c r="H10" s="11"/>
      <c r="I10" s="11"/>
      <c r="K10" s="20" t="str">
        <f>'Summary Sheet'!C10</f>
        <v>Number of Bedrooms (cluster &amp; studio) (non Accessible)</v>
      </c>
      <c r="L10" s="6">
        <f>B10+B11+H7</f>
        <v>968</v>
      </c>
    </row>
    <row r="11" spans="1:12" ht="15">
      <c r="A11" s="6" t="s">
        <v>10</v>
      </c>
      <c r="B11" s="9">
        <v>43</v>
      </c>
      <c r="C11" s="9">
        <v>25</v>
      </c>
      <c r="D11" s="9"/>
      <c r="E11" s="14"/>
      <c r="G11" s="6" t="s">
        <v>26</v>
      </c>
      <c r="H11" s="11"/>
      <c r="I11" s="11"/>
      <c r="K11" s="20" t="str">
        <f>'Summary Sheet'!C11</f>
        <v>Total Area of Bedrooms (cluster &amp; studio) (non Accessible)</v>
      </c>
      <c r="L11" s="182">
        <f>(B10*C10)+(B11*C11)+(H7*I7)</f>
        <v>13540</v>
      </c>
    </row>
    <row r="12" spans="1:12" ht="15">
      <c r="A12" s="6" t="s">
        <v>11</v>
      </c>
      <c r="B12" s="9"/>
      <c r="C12" s="9"/>
      <c r="D12" s="9"/>
      <c r="E12" s="9"/>
      <c r="G12" s="6" t="s">
        <v>27</v>
      </c>
      <c r="H12" s="11"/>
      <c r="I12" s="11"/>
      <c r="K12" s="20" t="str">
        <f>'Summary Sheet'!C12</f>
        <v>Average size of Bedroom (cluster &amp; studio) (non Accessible)</v>
      </c>
      <c r="L12" s="185">
        <f>L11/L10</f>
        <v>13.987603305785123</v>
      </c>
    </row>
    <row r="13" spans="1:12" ht="15">
      <c r="A13" s="6" t="s">
        <v>12</v>
      </c>
      <c r="B13" s="9"/>
      <c r="C13" s="9"/>
      <c r="D13" s="9"/>
      <c r="E13" s="9"/>
      <c r="G13" s="6" t="s">
        <v>28</v>
      </c>
      <c r="H13" s="11"/>
      <c r="I13" s="11"/>
      <c r="K13" s="20"/>
      <c r="L13" s="185"/>
    </row>
    <row r="14" spans="1:12" ht="15">
      <c r="A14" s="6" t="s">
        <v>13</v>
      </c>
      <c r="B14" s="9"/>
      <c r="C14" s="9"/>
      <c r="D14" s="9"/>
      <c r="E14" s="9"/>
      <c r="G14" s="6" t="s">
        <v>29</v>
      </c>
      <c r="H14" s="11"/>
      <c r="I14" s="11"/>
      <c r="K14" s="20" t="str">
        <f>'Summary Sheet'!C14</f>
        <v>Number of Cluster Bedrooms (non Accessible)</v>
      </c>
      <c r="L14" s="186">
        <f>B10+B11</f>
        <v>948</v>
      </c>
    </row>
    <row r="15" spans="1:12" ht="15">
      <c r="A15" s="6" t="s">
        <v>14</v>
      </c>
      <c r="B15" s="9"/>
      <c r="C15" s="9"/>
      <c r="D15" s="9"/>
      <c r="E15" s="9"/>
      <c r="G15" s="6" t="s">
        <v>30</v>
      </c>
      <c r="H15" s="11"/>
      <c r="I15" s="11"/>
      <c r="K15" s="20" t="str">
        <f>'Summary Sheet'!C15</f>
        <v>Total Area of Cluster Bedrooms (non Accessible)</v>
      </c>
      <c r="L15" s="6">
        <f>(B10*C10)+(B11*C11)</f>
        <v>12840</v>
      </c>
    </row>
    <row r="16" spans="1:12" ht="15">
      <c r="A16" s="10"/>
      <c r="B16" s="6" t="s">
        <v>17</v>
      </c>
      <c r="C16" s="6" t="s">
        <v>18</v>
      </c>
      <c r="D16" s="10"/>
      <c r="E16" s="10"/>
      <c r="G16" s="6" t="s">
        <v>31</v>
      </c>
      <c r="H16" s="11"/>
      <c r="I16" s="11"/>
      <c r="K16" s="20" t="str">
        <f>'Summary Sheet'!C16</f>
        <v>Average Size of Cluster Bedroom (non Accessible)</v>
      </c>
      <c r="L16" s="187">
        <f>L15/L14</f>
        <v>13.544303797468354</v>
      </c>
    </row>
    <row r="17" spans="1:12" ht="15">
      <c r="A17" s="6" t="s">
        <v>16</v>
      </c>
      <c r="B17" s="9">
        <v>189</v>
      </c>
      <c r="C17" s="9">
        <v>36</v>
      </c>
      <c r="D17" s="10"/>
      <c r="E17" s="10"/>
      <c r="G17" s="6" t="s">
        <v>32</v>
      </c>
      <c r="H17" s="11"/>
      <c r="I17" s="11"/>
      <c r="K17" s="20"/>
      <c r="L17" s="188"/>
    </row>
    <row r="18" spans="1:12" ht="15">
      <c r="A18" s="6" t="s">
        <v>15</v>
      </c>
      <c r="B18" s="9"/>
      <c r="C18" s="9"/>
      <c r="D18" s="10"/>
      <c r="E18" s="10"/>
      <c r="G18" s="6" t="s">
        <v>33</v>
      </c>
      <c r="H18" s="11"/>
      <c r="I18" s="11"/>
      <c r="K18" s="20" t="str">
        <f>'Summary Sheet'!C18</f>
        <v>Number of Studio Bedspaces (non Accessible)</v>
      </c>
      <c r="L18" s="186">
        <f>H7</f>
        <v>20</v>
      </c>
    </row>
    <row r="19" spans="11:12" ht="15">
      <c r="K19" s="20" t="str">
        <f>'Summary Sheet'!C19</f>
        <v>Total Area of Studio Bedspace (non Accessible)</v>
      </c>
      <c r="L19" s="186">
        <f>H7*I7</f>
        <v>700</v>
      </c>
    </row>
    <row r="20" spans="11:12" ht="15">
      <c r="K20" s="20" t="str">
        <f>'Summary Sheet'!C20</f>
        <v>Average Size of Studio Bedspaces (non Accessible)</v>
      </c>
      <c r="L20" s="189">
        <f>L19/L18</f>
        <v>35</v>
      </c>
    </row>
    <row r="21" spans="1:12" ht="15">
      <c r="A21" s="16"/>
      <c r="B21" s="15"/>
      <c r="C21" s="3"/>
      <c r="D21" s="3"/>
      <c r="E21" s="3"/>
      <c r="K21" s="20"/>
      <c r="L21" s="182"/>
    </row>
    <row r="22" spans="1:12" ht="15">
      <c r="A22" s="17"/>
      <c r="B22" s="18"/>
      <c r="C22" s="3"/>
      <c r="D22" s="3"/>
      <c r="E22" s="3"/>
      <c r="K22" s="6" t="str">
        <f>'Summary Sheet'!C24</f>
        <v>Total Number of Bedrooms Inc Accessible</v>
      </c>
      <c r="L22" s="6">
        <f>L10</f>
        <v>968</v>
      </c>
    </row>
    <row r="23" spans="1:12" ht="15">
      <c r="A23" s="3"/>
      <c r="B23" s="15"/>
      <c r="C23" s="15"/>
      <c r="D23" s="15"/>
      <c r="E23" s="15"/>
      <c r="K23" s="6" t="str">
        <f>'Summary Sheet'!C26</f>
        <v>Number of Accessible Bedrooms</v>
      </c>
      <c r="L23" s="6">
        <v>0</v>
      </c>
    </row>
    <row r="24" spans="1:12" ht="15">
      <c r="A24" s="15"/>
      <c r="B24" s="18"/>
      <c r="C24" s="18"/>
      <c r="D24" s="18"/>
      <c r="E24" s="18"/>
      <c r="K24" s="198" t="str">
        <f>'Summary Sheet'!C27</f>
        <v>Average Size of Accessible Bedroom</v>
      </c>
      <c r="L24" s="199">
        <v>0</v>
      </c>
    </row>
    <row r="25" ht="15.75" thickBot="1">
      <c r="A25" s="15"/>
    </row>
    <row r="26" spans="1:11" ht="122.25" customHeight="1">
      <c r="A26" s="111"/>
      <c r="B26" s="106" t="s">
        <v>159</v>
      </c>
      <c r="C26" s="101" t="s">
        <v>160</v>
      </c>
      <c r="D26" s="101" t="s">
        <v>161</v>
      </c>
      <c r="E26" s="102" t="s">
        <v>162</v>
      </c>
      <c r="F26" s="102" t="s">
        <v>163</v>
      </c>
      <c r="G26" s="102" t="s">
        <v>155</v>
      </c>
      <c r="H26" s="103" t="s">
        <v>164</v>
      </c>
      <c r="I26" s="102" t="s">
        <v>165</v>
      </c>
      <c r="J26" s="104" t="s">
        <v>167</v>
      </c>
      <c r="K26" s="105" t="s">
        <v>166</v>
      </c>
    </row>
    <row r="27" spans="1:11" ht="15">
      <c r="A27" s="114" t="s">
        <v>156</v>
      </c>
      <c r="B27" s="107">
        <f>C27/D27</f>
        <v>5.015873015873016</v>
      </c>
      <c r="C27" s="98">
        <f>B9</f>
        <v>948</v>
      </c>
      <c r="D27" s="98">
        <f>B7</f>
        <v>189</v>
      </c>
      <c r="E27" s="98">
        <f>B17</f>
        <v>189</v>
      </c>
      <c r="F27" s="98">
        <f>C17</f>
        <v>36</v>
      </c>
      <c r="G27" s="98">
        <v>0</v>
      </c>
      <c r="H27" s="99">
        <f>C27-G27</f>
        <v>948</v>
      </c>
      <c r="I27" s="100">
        <f>E27*F27</f>
        <v>6804</v>
      </c>
      <c r="J27" s="118">
        <f>I27/C27</f>
        <v>7.177215189873418</v>
      </c>
      <c r="K27" s="121">
        <f>I27/H27</f>
        <v>7.177215189873418</v>
      </c>
    </row>
    <row r="28" spans="1:11" ht="15">
      <c r="A28" s="115" t="s">
        <v>156</v>
      </c>
      <c r="B28" s="108"/>
      <c r="C28" s="94"/>
      <c r="D28" s="94"/>
      <c r="E28" s="94"/>
      <c r="F28" s="94"/>
      <c r="G28" s="94"/>
      <c r="H28" s="95"/>
      <c r="I28" s="96"/>
      <c r="J28" s="119"/>
      <c r="K28" s="122"/>
    </row>
    <row r="29" spans="1:11" ht="15">
      <c r="A29" s="115"/>
      <c r="B29" s="108"/>
      <c r="C29" s="94"/>
      <c r="D29" s="94"/>
      <c r="E29" s="94"/>
      <c r="F29" s="94"/>
      <c r="G29" s="94"/>
      <c r="H29" s="95"/>
      <c r="I29" s="96"/>
      <c r="J29" s="119"/>
      <c r="K29" s="123"/>
    </row>
    <row r="30" spans="1:11" ht="15.75" thickBot="1">
      <c r="A30" s="113"/>
      <c r="B30" s="125"/>
      <c r="C30" s="97"/>
      <c r="D30" s="97"/>
      <c r="E30" s="97"/>
      <c r="F30" s="97"/>
      <c r="G30" s="97"/>
      <c r="H30" s="116"/>
      <c r="I30" s="117"/>
      <c r="J30" s="120"/>
      <c r="K30" s="124"/>
    </row>
    <row r="32" spans="1:12" ht="15">
      <c r="A32" t="str">
        <f>'Summary Sheet'!C34</f>
        <v>Number of Beds  in Each Cluster</v>
      </c>
      <c r="B32">
        <f>'Summary Sheet'!D34</f>
        <v>3</v>
      </c>
      <c r="D32">
        <f aca="true" t="shared" si="0" ref="D32:J32">SUMIF($B$27:$B$30,$B32,C$27:C$30)</f>
        <v>0</v>
      </c>
      <c r="E32">
        <f t="shared" si="0"/>
        <v>0</v>
      </c>
      <c r="F32">
        <f t="shared" si="0"/>
        <v>0</v>
      </c>
      <c r="G32">
        <f t="shared" si="0"/>
        <v>0</v>
      </c>
      <c r="H32">
        <f t="shared" si="0"/>
        <v>0</v>
      </c>
      <c r="I32">
        <f t="shared" si="0"/>
        <v>0</v>
      </c>
      <c r="J32">
        <f t="shared" si="0"/>
        <v>0</v>
      </c>
      <c r="K32" s="21">
        <f>_xlfn.IFERROR(J32/D32,"")</f>
      </c>
      <c r="L32" s="21">
        <f>_xlfn.IFERROR(J32/I32,"")</f>
      </c>
    </row>
    <row r="33" spans="1:12" ht="15">
      <c r="A33">
        <f>'Summary Sheet'!C35</f>
        <v>0</v>
      </c>
      <c r="B33">
        <f>'Summary Sheet'!D35</f>
        <v>4</v>
      </c>
      <c r="D33">
        <f>SUMIF($C$27:C31,B33,$C$27:$C$30)</f>
        <v>0</v>
      </c>
      <c r="E33">
        <f aca="true" t="shared" si="1" ref="E33:J39">SUMIF($B$27:$B$30,$B33,D$27:D$30)</f>
        <v>0</v>
      </c>
      <c r="F33">
        <f t="shared" si="1"/>
        <v>0</v>
      </c>
      <c r="G33">
        <f t="shared" si="1"/>
        <v>0</v>
      </c>
      <c r="H33">
        <f t="shared" si="1"/>
        <v>0</v>
      </c>
      <c r="I33">
        <f t="shared" si="1"/>
        <v>0</v>
      </c>
      <c r="J33">
        <f t="shared" si="1"/>
        <v>0</v>
      </c>
      <c r="K33" s="21">
        <f aca="true" t="shared" si="2" ref="K33:K39">_xlfn.IFERROR(J33/D33,"")</f>
      </c>
      <c r="L33" s="21">
        <f aca="true" t="shared" si="3" ref="L33:L39">_xlfn.IFERROR(J33/I33,"")</f>
      </c>
    </row>
    <row r="34" spans="1:12" ht="15">
      <c r="A34">
        <f>'Summary Sheet'!C36</f>
        <v>0</v>
      </c>
      <c r="B34">
        <f>'Summary Sheet'!D36</f>
        <v>5</v>
      </c>
      <c r="D34">
        <f>SUMIF($C$27:C32,B34,$C$27:$C$30)</f>
        <v>0</v>
      </c>
      <c r="E34">
        <f t="shared" si="1"/>
        <v>0</v>
      </c>
      <c r="F34">
        <f t="shared" si="1"/>
        <v>0</v>
      </c>
      <c r="G34">
        <f t="shared" si="1"/>
        <v>0</v>
      </c>
      <c r="H34">
        <f t="shared" si="1"/>
        <v>0</v>
      </c>
      <c r="I34">
        <f t="shared" si="1"/>
        <v>0</v>
      </c>
      <c r="J34">
        <f t="shared" si="1"/>
        <v>0</v>
      </c>
      <c r="K34" s="21">
        <f t="shared" si="2"/>
      </c>
      <c r="L34" s="21">
        <f t="shared" si="3"/>
      </c>
    </row>
    <row r="35" spans="1:12" ht="15">
      <c r="A35">
        <f>'Summary Sheet'!C37</f>
        <v>0</v>
      </c>
      <c r="B35">
        <f>'Summary Sheet'!D37</f>
        <v>6</v>
      </c>
      <c r="D35">
        <f>SUMIF($C$27:C33,B35,$C$27:$C$30)</f>
        <v>0</v>
      </c>
      <c r="E35">
        <f t="shared" si="1"/>
        <v>0</v>
      </c>
      <c r="F35">
        <f t="shared" si="1"/>
        <v>0</v>
      </c>
      <c r="G35">
        <f t="shared" si="1"/>
        <v>0</v>
      </c>
      <c r="H35">
        <f t="shared" si="1"/>
        <v>0</v>
      </c>
      <c r="I35">
        <f t="shared" si="1"/>
        <v>0</v>
      </c>
      <c r="J35">
        <f t="shared" si="1"/>
        <v>0</v>
      </c>
      <c r="K35" s="21">
        <f t="shared" si="2"/>
      </c>
      <c r="L35" s="27">
        <f t="shared" si="3"/>
      </c>
    </row>
    <row r="36" spans="1:12" ht="15">
      <c r="A36">
        <f>'Summary Sheet'!C38</f>
        <v>0</v>
      </c>
      <c r="B36">
        <f>'Summary Sheet'!D38</f>
        <v>7</v>
      </c>
      <c r="D36">
        <f>SUMIF($C$27:C34,B36,$C$27:$C$30)</f>
        <v>0</v>
      </c>
      <c r="E36">
        <f t="shared" si="1"/>
        <v>0</v>
      </c>
      <c r="F36">
        <f t="shared" si="1"/>
        <v>0</v>
      </c>
      <c r="G36">
        <f t="shared" si="1"/>
        <v>0</v>
      </c>
      <c r="H36">
        <f t="shared" si="1"/>
        <v>0</v>
      </c>
      <c r="I36">
        <f t="shared" si="1"/>
        <v>0</v>
      </c>
      <c r="J36">
        <f t="shared" si="1"/>
        <v>0</v>
      </c>
      <c r="K36" s="21">
        <f t="shared" si="2"/>
      </c>
      <c r="L36" s="21">
        <f t="shared" si="3"/>
      </c>
    </row>
    <row r="37" spans="1:12" ht="15">
      <c r="A37">
        <f>'Summary Sheet'!C39</f>
        <v>0</v>
      </c>
      <c r="B37">
        <f>'Summary Sheet'!D39</f>
        <v>8</v>
      </c>
      <c r="D37">
        <f>SUMIF($C$27:C35,B37,$C$27:$C$30)</f>
        <v>0</v>
      </c>
      <c r="E37">
        <f t="shared" si="1"/>
        <v>0</v>
      </c>
      <c r="F37">
        <f t="shared" si="1"/>
        <v>0</v>
      </c>
      <c r="G37">
        <f t="shared" si="1"/>
        <v>0</v>
      </c>
      <c r="H37">
        <f t="shared" si="1"/>
        <v>0</v>
      </c>
      <c r="I37">
        <f t="shared" si="1"/>
        <v>0</v>
      </c>
      <c r="J37">
        <f t="shared" si="1"/>
        <v>0</v>
      </c>
      <c r="K37" s="21">
        <f t="shared" si="2"/>
      </c>
      <c r="L37" s="21">
        <f t="shared" si="3"/>
      </c>
    </row>
    <row r="38" spans="1:12" ht="15">
      <c r="A38">
        <f>'Summary Sheet'!C40</f>
        <v>0</v>
      </c>
      <c r="B38">
        <f>'Summary Sheet'!D40</f>
        <v>9</v>
      </c>
      <c r="D38">
        <f>SUMIF($C$27:C36,B38,$C$27:$C$30)</f>
        <v>0</v>
      </c>
      <c r="E38">
        <f t="shared" si="1"/>
        <v>0</v>
      </c>
      <c r="F38">
        <f t="shared" si="1"/>
        <v>0</v>
      </c>
      <c r="G38">
        <f t="shared" si="1"/>
        <v>0</v>
      </c>
      <c r="H38">
        <f t="shared" si="1"/>
        <v>0</v>
      </c>
      <c r="I38">
        <f t="shared" si="1"/>
        <v>0</v>
      </c>
      <c r="J38">
        <f t="shared" si="1"/>
        <v>0</v>
      </c>
      <c r="K38" s="21">
        <f t="shared" si="2"/>
      </c>
      <c r="L38" s="21">
        <f t="shared" si="3"/>
      </c>
    </row>
    <row r="39" spans="1:12" ht="15">
      <c r="A39">
        <f>'Summary Sheet'!C41</f>
        <v>0</v>
      </c>
      <c r="B39">
        <f>'Summary Sheet'!D41</f>
        <v>10</v>
      </c>
      <c r="D39">
        <f>SUMIF($C$27:C37,B39,$C$27:$C$30)</f>
        <v>0</v>
      </c>
      <c r="E39">
        <f t="shared" si="1"/>
        <v>0</v>
      </c>
      <c r="F39">
        <f t="shared" si="1"/>
        <v>0</v>
      </c>
      <c r="G39">
        <f t="shared" si="1"/>
        <v>0</v>
      </c>
      <c r="H39">
        <f t="shared" si="1"/>
        <v>0</v>
      </c>
      <c r="I39">
        <f t="shared" si="1"/>
        <v>0</v>
      </c>
      <c r="J39">
        <f t="shared" si="1"/>
        <v>0</v>
      </c>
      <c r="K39" s="21">
        <f t="shared" si="2"/>
      </c>
      <c r="L39" s="21">
        <f t="shared" si="3"/>
      </c>
    </row>
  </sheetData>
  <sheetProtection/>
  <printOptions/>
  <pageMargins left="0.7086614173228347" right="0.7086614173228347" top="0.7480314960629921" bottom="0.7480314960629921" header="0.31496062992125984" footer="0.31496062992125984"/>
  <pageSetup horizontalDpi="600" verticalDpi="600" orientation="landscape" paperSize="8" scale="69"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3:V42"/>
  <sheetViews>
    <sheetView showGridLines="0" tabSelected="1" zoomScalePageLayoutView="0" workbookViewId="0" topLeftCell="A1">
      <selection activeCell="G25" sqref="G25"/>
    </sheetView>
  </sheetViews>
  <sheetFormatPr defaultColWidth="9.140625" defaultRowHeight="15"/>
  <cols>
    <col min="1" max="1" width="2.28125" style="25" customWidth="1"/>
    <col min="2" max="2" width="1.8515625" style="25" customWidth="1"/>
    <col min="3" max="3" width="49.28125" style="25" customWidth="1"/>
    <col min="4" max="4" width="7.57421875" style="25" customWidth="1"/>
    <col min="5" max="5" width="9.57421875" style="25" customWidth="1"/>
    <col min="6" max="15" width="11.7109375" style="25" customWidth="1"/>
    <col min="16" max="16" width="12.28125" style="25" customWidth="1"/>
    <col min="17" max="21" width="11.7109375" style="25" customWidth="1"/>
    <col min="22" max="22" width="1.8515625" style="25" customWidth="1"/>
    <col min="23" max="16384" width="9.140625" style="25" customWidth="1"/>
  </cols>
  <sheetData>
    <row r="1" ht="12.75"/>
    <row r="2" ht="13.5" thickBot="1"/>
    <row r="3" spans="2:22" ht="7.5" customHeight="1" thickBot="1">
      <c r="B3" s="54"/>
      <c r="C3" s="52"/>
      <c r="D3" s="52"/>
      <c r="E3" s="51"/>
      <c r="F3" s="51"/>
      <c r="G3" s="51"/>
      <c r="H3" s="51"/>
      <c r="I3" s="51"/>
      <c r="J3" s="51"/>
      <c r="K3" s="51"/>
      <c r="L3" s="51"/>
      <c r="M3" s="51"/>
      <c r="N3" s="51"/>
      <c r="O3" s="51"/>
      <c r="P3" s="51"/>
      <c r="Q3" s="51"/>
      <c r="R3" s="51"/>
      <c r="S3" s="51"/>
      <c r="T3" s="51"/>
      <c r="U3" s="51"/>
      <c r="V3" s="53"/>
    </row>
    <row r="4" spans="2:22" s="23" customFormat="1" ht="39.75" customHeight="1" thickBot="1">
      <c r="B4" s="43"/>
      <c r="C4" s="45"/>
      <c r="D4" s="45"/>
      <c r="E4" s="33" t="s">
        <v>149</v>
      </c>
      <c r="F4" s="34" t="s">
        <v>142</v>
      </c>
      <c r="G4" s="34" t="s">
        <v>143</v>
      </c>
      <c r="H4" s="34" t="s">
        <v>122</v>
      </c>
      <c r="I4" s="34" t="s">
        <v>49</v>
      </c>
      <c r="J4" s="34" t="s">
        <v>4</v>
      </c>
      <c r="K4" s="34" t="s">
        <v>144</v>
      </c>
      <c r="L4" s="34" t="s">
        <v>6</v>
      </c>
      <c r="M4" s="34" t="s">
        <v>0</v>
      </c>
      <c r="N4" s="34" t="s">
        <v>145</v>
      </c>
      <c r="O4" s="34" t="s">
        <v>1</v>
      </c>
      <c r="P4" s="34" t="s">
        <v>2</v>
      </c>
      <c r="Q4" s="34" t="s">
        <v>146</v>
      </c>
      <c r="R4" s="34" t="s">
        <v>5</v>
      </c>
      <c r="S4" s="34" t="s">
        <v>147</v>
      </c>
      <c r="T4" s="34" t="s">
        <v>148</v>
      </c>
      <c r="U4" s="35" t="s">
        <v>150</v>
      </c>
      <c r="V4" s="36"/>
    </row>
    <row r="5" spans="2:22" s="23" customFormat="1" ht="9.75" customHeight="1">
      <c r="B5" s="43"/>
      <c r="C5" s="45"/>
      <c r="D5" s="45"/>
      <c r="E5" s="45"/>
      <c r="F5" s="45"/>
      <c r="G5" s="45"/>
      <c r="H5" s="45"/>
      <c r="I5" s="45"/>
      <c r="J5" s="45"/>
      <c r="K5" s="45"/>
      <c r="L5" s="45"/>
      <c r="M5" s="45"/>
      <c r="N5" s="45"/>
      <c r="O5" s="45"/>
      <c r="P5" s="45"/>
      <c r="Q5" s="45"/>
      <c r="R5" s="45"/>
      <c r="S5" s="45"/>
      <c r="T5" s="45"/>
      <c r="U5" s="46"/>
      <c r="V5" s="36"/>
    </row>
    <row r="6" spans="2:22" ht="12.75">
      <c r="B6" s="44"/>
      <c r="C6" s="69" t="s">
        <v>140</v>
      </c>
      <c r="D6" s="91" t="s">
        <v>157</v>
      </c>
      <c r="E6" s="72">
        <v>-1</v>
      </c>
      <c r="F6" s="55">
        <f>' City Side Phase 1'!L5</f>
        <v>260.5</v>
      </c>
      <c r="G6" s="55">
        <f>'Blenheim Court'!L5</f>
        <v>104</v>
      </c>
      <c r="H6" s="55">
        <f>'Central Living Village '!L5</f>
        <v>0</v>
      </c>
      <c r="I6" s="55">
        <f>'St Marks Residence'!L5</f>
        <v>240</v>
      </c>
      <c r="J6" s="55">
        <f>'Woodhouse Street'!L7</f>
        <v>0</v>
      </c>
      <c r="K6" s="55">
        <f>'Servia Road'!L5</f>
        <v>80</v>
      </c>
      <c r="L6" s="55">
        <f>'+Cavendish Street'!L5</f>
        <v>119</v>
      </c>
      <c r="M6" s="55">
        <f>'City Side Phase 2'!L5</f>
        <v>90</v>
      </c>
      <c r="N6" s="55">
        <f>'5 Burley Road (Opal 2)'!L5</f>
        <v>55</v>
      </c>
      <c r="O6" s="55">
        <f>'City Side Phase 3'!L5</f>
        <v>610</v>
      </c>
      <c r="P6" s="55">
        <f>'Broadcasting Place'!L5</f>
        <v>0</v>
      </c>
      <c r="Q6" s="55">
        <f>'The Plaza Clay Pit Lane'!L5</f>
        <v>298</v>
      </c>
      <c r="R6" s="55">
        <f>'6 Bingley Street'!L5</f>
        <v>333</v>
      </c>
      <c r="S6" s="55">
        <f>'1 - 3 Burley Road (Opal 1)'!L5</f>
        <v>0</v>
      </c>
      <c r="T6" s="75">
        <f>(SUMIF(F6:S6,"&gt;"&amp;E6))/(COUNTIF(F6:S6,"&gt;"&amp;E6))</f>
        <v>156.39285714285714</v>
      </c>
      <c r="U6" s="74">
        <f>SUM(F6:S6)</f>
        <v>2189.5</v>
      </c>
      <c r="V6" s="37"/>
    </row>
    <row r="7" spans="2:22" ht="12.75">
      <c r="B7" s="44"/>
      <c r="C7" s="70" t="s">
        <v>193</v>
      </c>
      <c r="D7" s="91" t="s">
        <v>157</v>
      </c>
      <c r="E7" s="73">
        <v>-1</v>
      </c>
      <c r="F7" s="29">
        <f>' City Side Phase 1'!L6</f>
        <v>2470.4</v>
      </c>
      <c r="G7" s="29">
        <f>'Blenheim Court'!L6</f>
        <v>1058</v>
      </c>
      <c r="H7" s="29">
        <f>'Central Living Village '!L6</f>
        <v>2595</v>
      </c>
      <c r="I7" s="29">
        <f>'St Marks Residence'!L6</f>
        <v>2693</v>
      </c>
      <c r="J7" s="29">
        <f>'Woodhouse Street'!L8</f>
        <v>755</v>
      </c>
      <c r="K7" s="29">
        <f>'Servia Road'!L6</f>
        <v>1924</v>
      </c>
      <c r="L7" s="29">
        <f>'+Cavendish Street'!L6</f>
        <v>790</v>
      </c>
      <c r="M7" s="29">
        <f>'City Side Phase 2'!L6</f>
        <v>1666.5</v>
      </c>
      <c r="N7" s="29">
        <f>'5 Burley Road (Opal 2)'!L6</f>
        <v>2646</v>
      </c>
      <c r="O7" s="29">
        <f>'City Side Phase 3'!L6</f>
        <v>1988</v>
      </c>
      <c r="P7" s="29">
        <f>'Broadcasting Place'!L6</f>
        <v>1364</v>
      </c>
      <c r="Q7" s="29">
        <f>'The Plaza Clay Pit Lane'!L6</f>
        <v>5280</v>
      </c>
      <c r="R7" s="29">
        <f>'6 Bingley Street'!L6</f>
        <v>1855</v>
      </c>
      <c r="S7" s="29">
        <f>'1 - 3 Burley Road (Opal 1)'!L6</f>
        <v>6804</v>
      </c>
      <c r="T7" s="83">
        <f>(SUMIF(F7:S7,"&gt;"&amp;E7))/(COUNTIF(F7:S7,"&gt;"&amp;E7))</f>
        <v>2420.6357142857146</v>
      </c>
      <c r="U7" s="84">
        <f>SUM(F7:S7)</f>
        <v>33888.9</v>
      </c>
      <c r="V7" s="37"/>
    </row>
    <row r="8" spans="2:22" ht="12.75">
      <c r="B8" s="44"/>
      <c r="C8" s="71" t="s">
        <v>141</v>
      </c>
      <c r="D8" s="91" t="s">
        <v>157</v>
      </c>
      <c r="E8" s="68"/>
      <c r="F8" s="59">
        <f>' City Side Phase 1'!L7</f>
        <v>2730.9</v>
      </c>
      <c r="G8" s="56">
        <f>'Blenheim Court'!L7</f>
        <v>1162</v>
      </c>
      <c r="H8" s="56">
        <f>'Central Living Village '!L7</f>
        <v>2595</v>
      </c>
      <c r="I8" s="56">
        <f>'St Marks Residence'!L7</f>
        <v>2933</v>
      </c>
      <c r="J8" s="56">
        <f>'Woodhouse Street'!L9</f>
        <v>755</v>
      </c>
      <c r="K8" s="56">
        <f>'Servia Road'!L7</f>
        <v>2004</v>
      </c>
      <c r="L8" s="56">
        <f>'+Cavendish Street'!L7</f>
        <v>909</v>
      </c>
      <c r="M8" s="56">
        <f>'City Side Phase 2'!L7</f>
        <v>1756.5</v>
      </c>
      <c r="N8" s="56">
        <f>'5 Burley Road (Opal 2)'!L7</f>
        <v>2701</v>
      </c>
      <c r="O8" s="56">
        <f>'City Side Phase 3'!L7</f>
        <v>2598</v>
      </c>
      <c r="P8" s="56">
        <f>'Broadcasting Place'!L7</f>
        <v>1364</v>
      </c>
      <c r="Q8" s="56">
        <f>'The Plaza Clay Pit Lane'!L7</f>
        <v>5578</v>
      </c>
      <c r="R8" s="56">
        <f>'6 Bingley Street'!L7</f>
        <v>2188</v>
      </c>
      <c r="S8" s="56">
        <f>'1 - 3 Burley Road (Opal 1)'!L7</f>
        <v>6804</v>
      </c>
      <c r="T8" s="85">
        <f>SUM(T6:T7)</f>
        <v>2577.028571428572</v>
      </c>
      <c r="U8" s="86">
        <f>SUM(U6:U7)</f>
        <v>36078.4</v>
      </c>
      <c r="V8" s="37"/>
    </row>
    <row r="9" spans="2:22" ht="7.5" customHeight="1">
      <c r="B9" s="44"/>
      <c r="C9" s="47"/>
      <c r="D9" s="47"/>
      <c r="E9" s="48"/>
      <c r="F9" s="49"/>
      <c r="G9" s="49"/>
      <c r="H9" s="49"/>
      <c r="I9" s="49"/>
      <c r="J9" s="49"/>
      <c r="K9" s="49"/>
      <c r="L9" s="49"/>
      <c r="M9" s="49"/>
      <c r="N9" s="49"/>
      <c r="O9" s="49"/>
      <c r="P9" s="49"/>
      <c r="Q9" s="49"/>
      <c r="R9" s="49"/>
      <c r="S9" s="49"/>
      <c r="T9" s="49"/>
      <c r="U9" s="48"/>
      <c r="V9" s="37"/>
    </row>
    <row r="10" spans="2:22" ht="12.75">
      <c r="B10" s="44"/>
      <c r="C10" s="69" t="s">
        <v>182</v>
      </c>
      <c r="D10" s="47"/>
      <c r="E10" s="72">
        <v>-1</v>
      </c>
      <c r="F10" s="57">
        <f>' City Side Phase 1'!L10</f>
        <v>534</v>
      </c>
      <c r="G10" s="57">
        <f>'Blenheim Court'!L10</f>
        <v>198</v>
      </c>
      <c r="H10" s="57">
        <f>'Central Living Village '!L10</f>
        <v>520</v>
      </c>
      <c r="I10" s="57">
        <f>'St Marks Residence'!L10</f>
        <v>521</v>
      </c>
      <c r="J10" s="57">
        <f>'Woodhouse Street'!L12</f>
        <v>112</v>
      </c>
      <c r="K10" s="57">
        <f>'Servia Road'!L10</f>
        <v>274</v>
      </c>
      <c r="L10" s="55">
        <f>'+Cavendish Street'!L10</f>
        <v>162</v>
      </c>
      <c r="M10" s="55">
        <f>'City Side Phase 2'!L10</f>
        <v>386</v>
      </c>
      <c r="N10" s="55">
        <f>'5 Burley Road (Opal 2)'!L10</f>
        <v>530</v>
      </c>
      <c r="O10" s="55">
        <f>'City Side Phase 3'!L10</f>
        <v>463</v>
      </c>
      <c r="P10" s="55">
        <f>'Broadcasting Place'!L10</f>
        <v>252</v>
      </c>
      <c r="Q10" s="55">
        <f>'The Plaza Clay Pit Lane'!L10</f>
        <v>1753</v>
      </c>
      <c r="R10" s="55">
        <f>'6 Bingley Street'!L10</f>
        <v>382</v>
      </c>
      <c r="S10" s="55">
        <f>'1 - 3 Burley Road (Opal 1)'!L10</f>
        <v>968</v>
      </c>
      <c r="T10" s="75">
        <f>(SUMIF(F10:S10,"&gt;"&amp;E10))/(COUNTIF(F10:S10,"&gt;"&amp;E10))</f>
        <v>503.92857142857144</v>
      </c>
      <c r="U10" s="88">
        <f>SUM(F10:S10)</f>
        <v>7055</v>
      </c>
      <c r="V10" s="37"/>
    </row>
    <row r="11" spans="2:22" ht="12.75">
      <c r="B11" s="44"/>
      <c r="C11" s="70" t="s">
        <v>181</v>
      </c>
      <c r="D11" s="91" t="s">
        <v>157</v>
      </c>
      <c r="E11" s="87">
        <v>-1</v>
      </c>
      <c r="F11" s="29">
        <f>' City Side Phase 1'!L11</f>
        <v>8321.2</v>
      </c>
      <c r="G11" s="29">
        <f>'Blenheim Court'!L11</f>
        <v>2664</v>
      </c>
      <c r="H11" s="29">
        <f>'Central Living Village '!L11</f>
        <v>6932</v>
      </c>
      <c r="I11" s="29">
        <f>'St Marks Residence'!L11</f>
        <v>7336</v>
      </c>
      <c r="J11" s="29">
        <f>'Woodhouse Street'!L13</f>
        <v>1608</v>
      </c>
      <c r="K11" s="29">
        <f>'Servia Road'!L11</f>
        <v>3836</v>
      </c>
      <c r="L11" s="29">
        <f>'+Cavendish Street'!L11</f>
        <v>2344</v>
      </c>
      <c r="M11" s="29">
        <f>'City Side Phase 2'!L11</f>
        <v>5464.4</v>
      </c>
      <c r="N11" s="29">
        <f>'5 Burley Road (Opal 2)'!L11</f>
        <v>7020</v>
      </c>
      <c r="O11" s="29">
        <f>'City Side Phase 3'!L11</f>
        <v>7496</v>
      </c>
      <c r="P11" s="29">
        <f>'Broadcasting Place'!L11</f>
        <v>3288</v>
      </c>
      <c r="Q11" s="29">
        <f>'The Plaza Clay Pit Lane'!L11</f>
        <v>28203.5</v>
      </c>
      <c r="R11" s="29">
        <f>'6 Bingley Street'!L11</f>
        <v>5756</v>
      </c>
      <c r="S11" s="29">
        <f>'1 - 3 Burley Road (Opal 1)'!L11</f>
        <v>13540</v>
      </c>
      <c r="T11" s="83">
        <f>(SUMIF(F11:S11,"&gt;"&amp;E11))/(COUNTIF(F11:S11,"&gt;"&amp;E11))</f>
        <v>7414.935714285714</v>
      </c>
      <c r="U11" s="89">
        <f>SUM(F11:S11)</f>
        <v>103809.1</v>
      </c>
      <c r="V11" s="37"/>
    </row>
    <row r="12" spans="2:22" ht="12.75">
      <c r="B12" s="44"/>
      <c r="C12" s="71" t="s">
        <v>180</v>
      </c>
      <c r="D12" s="91" t="s">
        <v>157</v>
      </c>
      <c r="E12" s="60"/>
      <c r="F12" s="59">
        <f>' City Side Phase 1'!L12</f>
        <v>15.582771535580525</v>
      </c>
      <c r="G12" s="56">
        <f>'Blenheim Court'!L12</f>
        <v>13.454545454545455</v>
      </c>
      <c r="H12" s="56">
        <f>'Central Living Village '!L12</f>
        <v>13.330769230769231</v>
      </c>
      <c r="I12" s="56">
        <f>'St Marks Residence'!L12</f>
        <v>14.080614203454894</v>
      </c>
      <c r="J12" s="56">
        <f>'Woodhouse Street'!L14</f>
        <v>14.357142857142858</v>
      </c>
      <c r="K12" s="56">
        <f>'Servia Road'!L12</f>
        <v>14</v>
      </c>
      <c r="L12" s="56">
        <f>'+Cavendish Street'!L12</f>
        <v>14.469135802469136</v>
      </c>
      <c r="M12" s="56">
        <f>'City Side Phase 2'!L12</f>
        <v>14.156476683937823</v>
      </c>
      <c r="N12" s="56">
        <f>'5 Burley Road (Opal 2)'!L12</f>
        <v>13.245283018867925</v>
      </c>
      <c r="O12" s="56">
        <f>'City Side Phase 3'!L12</f>
        <v>16.190064794816415</v>
      </c>
      <c r="P12" s="56">
        <f>'Broadcasting Place'!L12</f>
        <v>13.047619047619047</v>
      </c>
      <c r="Q12" s="56">
        <f>'The Plaza Clay Pit Lane'!L12</f>
        <v>16.08870507701084</v>
      </c>
      <c r="R12" s="56">
        <f>'6 Bingley Street'!L12</f>
        <v>15.06806282722513</v>
      </c>
      <c r="S12" s="56">
        <f>'1 - 3 Burley Road (Opal 1)'!L12</f>
        <v>13.987603305785123</v>
      </c>
      <c r="T12" s="157">
        <f>T11/T10</f>
        <v>14.714259390503189</v>
      </c>
      <c r="U12" s="66"/>
      <c r="V12" s="37"/>
    </row>
    <row r="13" spans="2:22" ht="12.75">
      <c r="B13" s="44"/>
      <c r="C13" s="158"/>
      <c r="D13" s="91"/>
      <c r="E13" s="48"/>
      <c r="F13" s="59"/>
      <c r="G13" s="56"/>
      <c r="H13" s="56"/>
      <c r="I13" s="56"/>
      <c r="J13" s="56"/>
      <c r="K13" s="56"/>
      <c r="L13" s="56"/>
      <c r="M13" s="56"/>
      <c r="N13" s="56"/>
      <c r="O13" s="56"/>
      <c r="P13" s="56"/>
      <c r="Q13" s="56"/>
      <c r="R13" s="56"/>
      <c r="S13" s="56"/>
      <c r="T13" s="159"/>
      <c r="U13" s="48"/>
      <c r="V13" s="37"/>
    </row>
    <row r="14" spans="2:22" ht="12.75">
      <c r="B14" s="44"/>
      <c r="C14" s="216" t="s">
        <v>183</v>
      </c>
      <c r="D14" s="161"/>
      <c r="E14" s="162"/>
      <c r="F14" s="163">
        <f>' City Side Phase 1'!L14</f>
        <v>498</v>
      </c>
      <c r="G14" s="164">
        <f>'Blenheim Court'!L14</f>
        <v>198</v>
      </c>
      <c r="H14" s="164">
        <f>'Central Living Village '!L14</f>
        <v>520</v>
      </c>
      <c r="I14" s="164">
        <f>'St Marks Residence'!L14</f>
        <v>521</v>
      </c>
      <c r="J14" s="164">
        <f>'Woodhouse Street'!L16</f>
        <v>112</v>
      </c>
      <c r="K14" s="164">
        <f>'Servia Road'!L14</f>
        <v>274</v>
      </c>
      <c r="L14" s="164">
        <f>'+Cavendish Street'!L14</f>
        <v>148</v>
      </c>
      <c r="M14" s="164">
        <f>'City Side Phase 2'!L14</f>
        <v>386</v>
      </c>
      <c r="N14" s="164">
        <f>'5 Burley Road (Opal 2)'!L14</f>
        <v>525</v>
      </c>
      <c r="O14" s="164">
        <f>'City Side Phase 3'!L14</f>
        <v>377</v>
      </c>
      <c r="P14" s="164">
        <f>'Broadcasting Place'!L14</f>
        <v>231</v>
      </c>
      <c r="Q14" s="164">
        <f>'The Plaza Clay Pit Lane'!L14</f>
        <v>1363</v>
      </c>
      <c r="R14" s="164">
        <f>'6 Bingley Street'!L14</f>
        <v>353</v>
      </c>
      <c r="S14" s="164">
        <f>'1 - 3 Burley Road (Opal 1)'!L14</f>
        <v>948</v>
      </c>
      <c r="T14" s="165">
        <f>SUM(F14:S14)</f>
        <v>6454</v>
      </c>
      <c r="U14" s="48"/>
      <c r="V14" s="37"/>
    </row>
    <row r="15" spans="2:22" ht="12.75">
      <c r="B15" s="44"/>
      <c r="C15" s="216" t="s">
        <v>184</v>
      </c>
      <c r="D15" s="161"/>
      <c r="E15" s="162"/>
      <c r="F15" s="166">
        <f>' City Side Phase 1'!L15</f>
        <v>7025.2</v>
      </c>
      <c r="G15" s="167">
        <f>'Blenheim Court'!L15</f>
        <v>2664</v>
      </c>
      <c r="H15" s="167">
        <f>'Central Living Village '!L15</f>
        <v>6932</v>
      </c>
      <c r="I15" s="167">
        <f>'St Marks Residence'!L15</f>
        <v>7336</v>
      </c>
      <c r="J15" s="167">
        <f>'Woodhouse Street'!L17</f>
        <v>1608</v>
      </c>
      <c r="K15" s="167">
        <f>'Servia Road'!L15</f>
        <v>3836</v>
      </c>
      <c r="L15" s="167">
        <f>'+Cavendish Street'!L15</f>
        <v>1924</v>
      </c>
      <c r="M15" s="167">
        <f>'City Side Phase 2'!L15</f>
        <v>5464.4</v>
      </c>
      <c r="N15" s="167">
        <f>'5 Burley Road (Opal 2)'!L15</f>
        <v>6889</v>
      </c>
      <c r="O15" s="167">
        <f>'City Side Phase 3'!L15</f>
        <v>5604</v>
      </c>
      <c r="P15" s="167">
        <f>'Broadcasting Place'!L15</f>
        <v>2805</v>
      </c>
      <c r="Q15" s="167">
        <f>'The Plaza Clay Pit Lane'!L15</f>
        <v>17233.5</v>
      </c>
      <c r="R15" s="167">
        <f>'6 Bingley Street'!L15</f>
        <v>4942</v>
      </c>
      <c r="S15" s="167">
        <f>'1 - 3 Burley Road (Opal 1)'!L15</f>
        <v>12840</v>
      </c>
      <c r="T15" s="165">
        <f>SUM(F15:S15)</f>
        <v>87103.1</v>
      </c>
      <c r="U15" s="48"/>
      <c r="V15" s="37"/>
    </row>
    <row r="16" spans="2:22" ht="12.75">
      <c r="B16" s="44"/>
      <c r="C16" s="90" t="s">
        <v>185</v>
      </c>
      <c r="D16" s="91"/>
      <c r="E16" s="48"/>
      <c r="F16" s="59">
        <f>' City Side Phase 1'!L16</f>
        <v>14.106827309236948</v>
      </c>
      <c r="G16" s="56">
        <f>'Blenheim Court'!L16</f>
        <v>13.454545454545455</v>
      </c>
      <c r="H16" s="56">
        <f>'Central Living Village '!L16</f>
        <v>13.330769230769231</v>
      </c>
      <c r="I16" s="56">
        <f>'St Marks Residence'!L16</f>
        <v>14.080614203454894</v>
      </c>
      <c r="J16" s="56">
        <f>'Woodhouse Street'!L18</f>
        <v>14.357142857142858</v>
      </c>
      <c r="K16" s="56">
        <f>'Servia Road'!L16</f>
        <v>14</v>
      </c>
      <c r="L16" s="56">
        <f>'+Cavendish Street'!L16</f>
        <v>13</v>
      </c>
      <c r="M16" s="56">
        <f>'City Side Phase 2'!L16</f>
        <v>14.156476683937823</v>
      </c>
      <c r="N16" s="56">
        <f>'5 Burley Road (Opal 2)'!L16</f>
        <v>13.121904761904762</v>
      </c>
      <c r="O16" s="56">
        <f>'City Side Phase 3'!L16</f>
        <v>14.86472148541114</v>
      </c>
      <c r="P16" s="56">
        <f>'Broadcasting Place'!L16</f>
        <v>12.142857142857142</v>
      </c>
      <c r="Q16" s="56">
        <f>'The Plaza Clay Pit Lane'!L16</f>
        <v>12.64380044020543</v>
      </c>
      <c r="R16" s="56">
        <f>'6 Bingley Street'!L16</f>
        <v>14</v>
      </c>
      <c r="S16" s="56">
        <f>'1 - 3 Burley Road (Opal 1)'!L16</f>
        <v>13.544303797468354</v>
      </c>
      <c r="T16" s="160">
        <f>T15/T14</f>
        <v>13.49598698481562</v>
      </c>
      <c r="U16" s="48"/>
      <c r="V16" s="37"/>
    </row>
    <row r="17" spans="2:22" ht="12.75">
      <c r="B17" s="44"/>
      <c r="C17" s="158"/>
      <c r="D17" s="91"/>
      <c r="E17" s="48"/>
      <c r="F17" s="59"/>
      <c r="G17" s="56"/>
      <c r="H17" s="56"/>
      <c r="I17" s="56"/>
      <c r="J17" s="56"/>
      <c r="K17" s="56"/>
      <c r="L17" s="56"/>
      <c r="M17" s="56"/>
      <c r="N17" s="56"/>
      <c r="O17" s="56"/>
      <c r="P17" s="56"/>
      <c r="Q17" s="56"/>
      <c r="R17" s="56"/>
      <c r="S17" s="56"/>
      <c r="T17" s="159"/>
      <c r="U17" s="48"/>
      <c r="V17" s="37"/>
    </row>
    <row r="18" spans="2:22" ht="12.75">
      <c r="B18" s="44"/>
      <c r="C18" s="216" t="s">
        <v>186</v>
      </c>
      <c r="D18" s="161"/>
      <c r="E18" s="162"/>
      <c r="F18" s="166">
        <f>' City Side Phase 1'!L18</f>
        <v>36</v>
      </c>
      <c r="G18" s="167">
        <f>'Blenheim Court'!L18</f>
        <v>0</v>
      </c>
      <c r="H18" s="167">
        <f>'Central Living Village '!L18</f>
        <v>0</v>
      </c>
      <c r="I18" s="167">
        <f>'St Marks Residence'!L18</f>
        <v>0</v>
      </c>
      <c r="J18" s="167">
        <f>'Woodhouse Street'!L20</f>
        <v>0</v>
      </c>
      <c r="K18" s="167">
        <f>'Servia Road'!L18</f>
        <v>0</v>
      </c>
      <c r="L18" s="167">
        <f>'+Cavendish Street'!L18</f>
        <v>14</v>
      </c>
      <c r="M18" s="167">
        <f>'City Side Phase 2'!L18</f>
        <v>0</v>
      </c>
      <c r="N18" s="167">
        <f>'5 Burley Road (Opal 2)'!L18</f>
        <v>4</v>
      </c>
      <c r="O18" s="167">
        <f>'City Side Phase 3'!L18</f>
        <v>86</v>
      </c>
      <c r="P18" s="167">
        <f>'Broadcasting Place'!L18</f>
        <v>21</v>
      </c>
      <c r="Q18" s="167">
        <f>'The Plaza Clay Pit Lane'!L18</f>
        <v>390</v>
      </c>
      <c r="R18" s="167">
        <f>'6 Bingley Street'!L18</f>
        <v>29</v>
      </c>
      <c r="S18" s="167">
        <f>'1 - 3 Burley Road (Opal 1)'!L18</f>
        <v>20</v>
      </c>
      <c r="T18" s="159"/>
      <c r="U18" s="48"/>
      <c r="V18" s="37"/>
    </row>
    <row r="19" spans="2:22" ht="12.75">
      <c r="B19" s="44"/>
      <c r="C19" s="216" t="s">
        <v>187</v>
      </c>
      <c r="D19" s="161"/>
      <c r="E19" s="162"/>
      <c r="F19" s="166">
        <f>' City Side Phase 1'!L19</f>
        <v>1296</v>
      </c>
      <c r="G19" s="167">
        <f>'Blenheim Court'!L19</f>
        <v>0</v>
      </c>
      <c r="H19" s="167">
        <f>'Central Living Village '!L19</f>
        <v>0</v>
      </c>
      <c r="I19" s="167">
        <f>'St Marks Residence'!L19</f>
        <v>0</v>
      </c>
      <c r="J19" s="167">
        <f>'Woodhouse Street'!L21</f>
        <v>0</v>
      </c>
      <c r="K19" s="167">
        <f>'Servia Road'!L19</f>
        <v>0</v>
      </c>
      <c r="L19" s="167">
        <f>'+Cavendish Street'!L19</f>
        <v>420</v>
      </c>
      <c r="M19" s="167">
        <f>'City Side Phase 2'!L19</f>
        <v>0</v>
      </c>
      <c r="N19" s="167">
        <f>'5 Burley Road (Opal 2)'!L19</f>
        <v>98</v>
      </c>
      <c r="O19" s="167">
        <f>'City Side Phase 3'!L19</f>
        <v>1892</v>
      </c>
      <c r="P19" s="167">
        <f>'Broadcasting Place'!L19</f>
        <v>483</v>
      </c>
      <c r="Q19" s="167">
        <f>'The Plaza Clay Pit Lane'!L19</f>
        <v>10970</v>
      </c>
      <c r="R19" s="167">
        <f>'6 Bingley Street'!L19</f>
        <v>814</v>
      </c>
      <c r="S19" s="167">
        <f>'1 - 3 Burley Road (Opal 1)'!L19</f>
        <v>700</v>
      </c>
      <c r="T19" s="159"/>
      <c r="U19" s="48"/>
      <c r="V19" s="37"/>
    </row>
    <row r="20" spans="2:22" ht="12.75">
      <c r="B20" s="44"/>
      <c r="C20" s="90" t="s">
        <v>188</v>
      </c>
      <c r="D20" s="91"/>
      <c r="E20" s="48"/>
      <c r="F20" s="59">
        <f>' City Side Phase 1'!L20</f>
        <v>36</v>
      </c>
      <c r="G20" s="56">
        <f>'Blenheim Court'!L20</f>
        <v>0</v>
      </c>
      <c r="H20" s="56">
        <f>'Central Living Village '!L20</f>
        <v>0</v>
      </c>
      <c r="I20" s="56">
        <f>'St Marks Residence'!L20</f>
        <v>0</v>
      </c>
      <c r="J20" s="56">
        <f>'Woodhouse Street'!L22</f>
        <v>0</v>
      </c>
      <c r="K20" s="56">
        <f>'Servia Road'!L20</f>
        <v>0</v>
      </c>
      <c r="L20" s="56">
        <f>'+Cavendish Street'!L20</f>
        <v>30</v>
      </c>
      <c r="M20" s="56">
        <f>'City Side Phase 2'!L20</f>
        <v>0</v>
      </c>
      <c r="N20" s="56">
        <f>'5 Burley Road (Opal 2)'!L20</f>
        <v>24.5</v>
      </c>
      <c r="O20" s="56">
        <f>'City Side Phase 3'!L20</f>
        <v>22</v>
      </c>
      <c r="P20" s="56">
        <f>'Broadcasting Place'!L20</f>
        <v>23</v>
      </c>
      <c r="Q20" s="56">
        <f>'The Plaza Clay Pit Lane'!L20</f>
        <v>28.128205128205128</v>
      </c>
      <c r="R20" s="56">
        <f>'6 Bingley Street'!L20</f>
        <v>28.06896551724138</v>
      </c>
      <c r="S20" s="56">
        <f>'1 - 3 Burley Road (Opal 1)'!L20</f>
        <v>35</v>
      </c>
      <c r="T20" s="168">
        <f>SUM(F20:S20)/(COUNTIF(F19:S19,"&gt;0"))</f>
        <v>28.337146330680817</v>
      </c>
      <c r="U20" s="48"/>
      <c r="V20" s="37"/>
    </row>
    <row r="21" spans="2:22" ht="7.5" customHeight="1">
      <c r="B21" s="44"/>
      <c r="C21" s="47"/>
      <c r="D21" s="47"/>
      <c r="E21" s="48"/>
      <c r="F21" s="49"/>
      <c r="G21" s="49"/>
      <c r="H21" s="49"/>
      <c r="I21" s="49"/>
      <c r="J21" s="49"/>
      <c r="K21" s="49"/>
      <c r="L21" s="49"/>
      <c r="M21" s="49"/>
      <c r="N21" s="49"/>
      <c r="O21" s="49"/>
      <c r="P21" s="49"/>
      <c r="Q21" s="49"/>
      <c r="R21" s="49"/>
      <c r="S21" s="49"/>
      <c r="T21" s="49"/>
      <c r="U21" s="48"/>
      <c r="V21" s="37"/>
    </row>
    <row r="22" spans="2:22" ht="7.5" customHeight="1">
      <c r="B22" s="44"/>
      <c r="C22" s="47"/>
      <c r="D22" s="47"/>
      <c r="E22" s="48"/>
      <c r="F22" s="49"/>
      <c r="G22" s="49"/>
      <c r="H22" s="49"/>
      <c r="I22" s="49"/>
      <c r="J22" s="49"/>
      <c r="K22" s="49"/>
      <c r="L22" s="49"/>
      <c r="M22" s="49"/>
      <c r="N22" s="49"/>
      <c r="O22" s="49"/>
      <c r="P22" s="49"/>
      <c r="Q22" s="49"/>
      <c r="R22" s="49"/>
      <c r="S22" s="49"/>
      <c r="T22" s="49"/>
      <c r="U22" s="48"/>
      <c r="V22" s="37"/>
    </row>
    <row r="23" spans="2:22" ht="7.5" customHeight="1">
      <c r="B23" s="44"/>
      <c r="C23" s="48"/>
      <c r="D23" s="48"/>
      <c r="E23" s="48"/>
      <c r="F23" s="48"/>
      <c r="G23" s="48"/>
      <c r="H23" s="48"/>
      <c r="I23" s="48"/>
      <c r="J23" s="48"/>
      <c r="K23" s="48"/>
      <c r="L23" s="48"/>
      <c r="M23" s="48"/>
      <c r="N23" s="48"/>
      <c r="O23" s="48"/>
      <c r="P23" s="48"/>
      <c r="Q23" s="48"/>
      <c r="R23" s="48"/>
      <c r="S23" s="48"/>
      <c r="T23" s="49"/>
      <c r="U23" s="48"/>
      <c r="V23" s="37"/>
    </row>
    <row r="24" spans="2:22" ht="12.75">
      <c r="B24" s="44"/>
      <c r="C24" s="69" t="s">
        <v>170</v>
      </c>
      <c r="D24" s="47"/>
      <c r="E24" s="60"/>
      <c r="F24" s="172">
        <f>' City Side Phase 1'!L22</f>
        <v>544</v>
      </c>
      <c r="G24" s="172">
        <f>'Blenheim Court'!L22</f>
        <v>205</v>
      </c>
      <c r="H24" s="172">
        <f>'Central Living Village '!L22</f>
        <v>520</v>
      </c>
      <c r="I24" s="172">
        <f>'St Marks Residence'!L22</f>
        <v>523</v>
      </c>
      <c r="J24" s="172">
        <f>'Woodhouse Street'!L24</f>
        <v>113</v>
      </c>
      <c r="K24" s="172">
        <f>'Servia Road'!L22</f>
        <v>596</v>
      </c>
      <c r="L24" s="172">
        <f>'+Cavendish Street'!L22</f>
        <v>179</v>
      </c>
      <c r="M24" s="172">
        <f>'City Side Phase 2'!L22</f>
        <v>404</v>
      </c>
      <c r="N24" s="172">
        <f>'5 Burley Road (Opal 2)'!L22</f>
        <v>555</v>
      </c>
      <c r="O24" s="172">
        <f>'City Side Phase 3'!L22</f>
        <v>463</v>
      </c>
      <c r="P24" s="172">
        <f>'Broadcasting Place'!L22</f>
        <v>263</v>
      </c>
      <c r="Q24" s="172">
        <f>'The Plaza Clay Pit Lane'!L22</f>
        <v>1753</v>
      </c>
      <c r="R24" s="172">
        <f>'6 Bingley Street'!L22</f>
        <v>392</v>
      </c>
      <c r="S24" s="172">
        <f>'1 - 3 Burley Road (Opal 1)'!L22</f>
        <v>968</v>
      </c>
      <c r="T24" s="64"/>
      <c r="U24" s="92">
        <f>SUM(F24:S24)</f>
        <v>7478</v>
      </c>
      <c r="V24" s="37"/>
    </row>
    <row r="25" spans="2:22" ht="12.75">
      <c r="B25" s="44"/>
      <c r="C25" s="180"/>
      <c r="D25" s="47"/>
      <c r="E25" s="48"/>
      <c r="F25" s="178"/>
      <c r="G25" s="176"/>
      <c r="H25" s="176"/>
      <c r="I25" s="176"/>
      <c r="J25" s="176"/>
      <c r="K25" s="176"/>
      <c r="L25" s="176"/>
      <c r="M25" s="176"/>
      <c r="N25" s="176"/>
      <c r="O25" s="176"/>
      <c r="P25" s="176"/>
      <c r="Q25" s="176"/>
      <c r="R25" s="176"/>
      <c r="S25" s="177"/>
      <c r="T25" s="179"/>
      <c r="U25" s="92"/>
      <c r="V25" s="37"/>
    </row>
    <row r="26" spans="2:22" ht="12.75">
      <c r="B26" s="44"/>
      <c r="C26" s="70" t="s">
        <v>155</v>
      </c>
      <c r="D26" s="47"/>
      <c r="E26" s="60"/>
      <c r="F26" s="172">
        <f>' City Side Phase 1'!L23</f>
        <v>10</v>
      </c>
      <c r="G26" s="172">
        <f>'Blenheim Court'!L23</f>
        <v>7</v>
      </c>
      <c r="H26" s="172">
        <f>'Central Living Village '!L23</f>
        <v>0</v>
      </c>
      <c r="I26" s="172">
        <f>'St Marks Residence'!L23</f>
        <v>2</v>
      </c>
      <c r="J26" s="172">
        <f>'Woodhouse Street'!L25</f>
        <v>1</v>
      </c>
      <c r="K26" s="172">
        <f>'Servia Road'!L23</f>
        <v>14</v>
      </c>
      <c r="L26" s="172">
        <f>'+Cavendish Street'!L23</f>
        <v>17</v>
      </c>
      <c r="M26" s="172">
        <f>'City Side Phase 2'!L23</f>
        <v>18</v>
      </c>
      <c r="N26" s="172">
        <f>'5 Burley Road (Opal 2)'!L23</f>
        <v>25</v>
      </c>
      <c r="O26" s="172">
        <f>'City Side Phase 3'!L23</f>
        <v>0</v>
      </c>
      <c r="P26" s="172">
        <f>'Broadcasting Place'!L23</f>
        <v>11</v>
      </c>
      <c r="Q26" s="172">
        <f>'The Plaza Clay Pit Lane'!L23</f>
        <v>0</v>
      </c>
      <c r="R26" s="172">
        <f>'6 Bingley Street'!L23</f>
        <v>10</v>
      </c>
      <c r="S26" s="172">
        <f>'1 - 3 Burley Road (Opal 1)'!L23</f>
        <v>0</v>
      </c>
      <c r="T26" s="173"/>
      <c r="U26" s="92">
        <f>SUM(F26:S26)</f>
        <v>115</v>
      </c>
      <c r="V26" s="37"/>
    </row>
    <row r="27" spans="2:22" ht="12.75">
      <c r="B27" s="44"/>
      <c r="C27" s="71" t="s">
        <v>179</v>
      </c>
      <c r="D27" s="93" t="s">
        <v>157</v>
      </c>
      <c r="E27" s="60"/>
      <c r="F27" s="175">
        <f>' City Side Phase 1'!L24</f>
        <v>20.2</v>
      </c>
      <c r="G27" s="175">
        <f>'Blenheim Court'!L24</f>
        <v>21.285714285714285</v>
      </c>
      <c r="H27" s="175">
        <f>'Central Living Village '!L24</f>
        <v>0</v>
      </c>
      <c r="I27" s="175">
        <f>'St Marks Residence'!L24</f>
        <v>36.5</v>
      </c>
      <c r="J27" s="175">
        <f>'Woodhouse Street'!L26</f>
        <v>18</v>
      </c>
      <c r="K27" s="175">
        <f>'Servia Road'!L24</f>
        <v>23</v>
      </c>
      <c r="L27" s="175">
        <f>'+Cavendish Street'!L24</f>
        <v>19</v>
      </c>
      <c r="M27" s="175">
        <f>'City Side Phase 2'!L24</f>
        <v>20.8</v>
      </c>
      <c r="N27" s="175">
        <f>'5 Burley Road (Opal 2)'!L24</f>
        <v>20</v>
      </c>
      <c r="O27" s="175">
        <f>'City Side Phase 3'!L24</f>
        <v>0</v>
      </c>
      <c r="P27" s="175">
        <f>'Broadcasting Place'!L24</f>
        <v>19</v>
      </c>
      <c r="Q27" s="175">
        <f>'The Plaza Clay Pit Lane'!L24</f>
        <v>0</v>
      </c>
      <c r="R27" s="175">
        <f>'6 Bingley Street'!L24</f>
        <v>21</v>
      </c>
      <c r="S27" s="175">
        <f>'1 - 3 Burley Road (Opal 1)'!L24</f>
        <v>0</v>
      </c>
      <c r="T27" s="174">
        <f>SUM(F27:S27)/(COUNTIF(F26:S26,"&gt;0"))</f>
        <v>21.878571428571426</v>
      </c>
      <c r="U27" s="65"/>
      <c r="V27" s="37"/>
    </row>
    <row r="28" spans="2:22" ht="7.5" customHeight="1">
      <c r="B28" s="44"/>
      <c r="C28" s="47"/>
      <c r="D28" s="47"/>
      <c r="E28" s="48"/>
      <c r="F28" s="50"/>
      <c r="G28" s="50"/>
      <c r="H28" s="50"/>
      <c r="I28" s="50"/>
      <c r="J28" s="50"/>
      <c r="K28" s="50"/>
      <c r="L28" s="50"/>
      <c r="M28" s="50"/>
      <c r="N28" s="50"/>
      <c r="O28" s="50"/>
      <c r="P28" s="50"/>
      <c r="Q28" s="50"/>
      <c r="R28" s="50"/>
      <c r="S28" s="50"/>
      <c r="T28" s="50"/>
      <c r="U28" s="48"/>
      <c r="V28" s="37"/>
    </row>
    <row r="29" spans="2:22" ht="12.75">
      <c r="B29" s="44"/>
      <c r="C29" s="90" t="s">
        <v>169</v>
      </c>
      <c r="D29" s="93" t="s">
        <v>157</v>
      </c>
      <c r="E29" s="48"/>
      <c r="F29" s="67">
        <f>F6/F24</f>
        <v>0.4788602941176471</v>
      </c>
      <c r="G29" s="58">
        <f aca="true" t="shared" si="0" ref="G29:S29">G6/G24</f>
        <v>0.5073170731707317</v>
      </c>
      <c r="H29" s="58">
        <f t="shared" si="0"/>
        <v>0</v>
      </c>
      <c r="I29" s="58">
        <f t="shared" si="0"/>
        <v>0.4588910133843212</v>
      </c>
      <c r="J29" s="58">
        <f t="shared" si="0"/>
        <v>0</v>
      </c>
      <c r="K29" s="58">
        <f t="shared" si="0"/>
        <v>0.1342281879194631</v>
      </c>
      <c r="L29" s="58">
        <f t="shared" si="0"/>
        <v>0.664804469273743</v>
      </c>
      <c r="M29" s="58">
        <f t="shared" si="0"/>
        <v>0.22277227722772278</v>
      </c>
      <c r="N29" s="58">
        <f t="shared" si="0"/>
        <v>0.0990990990990991</v>
      </c>
      <c r="O29" s="58">
        <f t="shared" si="0"/>
        <v>1.3174946004319654</v>
      </c>
      <c r="P29" s="58">
        <f t="shared" si="0"/>
        <v>0</v>
      </c>
      <c r="Q29" s="58">
        <f t="shared" si="0"/>
        <v>0.1699942954934398</v>
      </c>
      <c r="R29" s="58">
        <f t="shared" si="0"/>
        <v>0.8494897959183674</v>
      </c>
      <c r="S29" s="58">
        <f t="shared" si="0"/>
        <v>0</v>
      </c>
      <c r="T29" s="156" t="str">
        <f>(ROUNDDOWN((SUM(F29:S29)/(COUNT(F29:S29))),2)&amp;"   ("&amp;(ROUNDDOWN((SUM(F29:S29)/(COUNTIF(F29:S29,"&gt;0"))),2)&amp;")"))</f>
        <v>0.35   (0.49)</v>
      </c>
      <c r="U29" s="48"/>
      <c r="V29" s="37"/>
    </row>
    <row r="30" spans="2:22" ht="11.25" customHeight="1" thickBot="1">
      <c r="B30" s="39"/>
      <c r="C30" s="40"/>
      <c r="D30" s="40"/>
      <c r="E30" s="41"/>
      <c r="F30" s="42"/>
      <c r="G30" s="42"/>
      <c r="H30" s="42"/>
      <c r="I30" s="42"/>
      <c r="J30" s="42"/>
      <c r="K30" s="42"/>
      <c r="L30" s="42"/>
      <c r="M30" s="42"/>
      <c r="N30" s="42"/>
      <c r="O30" s="42"/>
      <c r="P30" s="42"/>
      <c r="Q30" s="42"/>
      <c r="R30" s="42"/>
      <c r="S30" s="42"/>
      <c r="T30" s="42"/>
      <c r="U30" s="41"/>
      <c r="V30" s="38"/>
    </row>
    <row r="31" ht="12.75">
      <c r="T31" s="24"/>
    </row>
    <row r="32" ht="13.5" thickBot="1"/>
    <row r="33" spans="2:22" ht="13.5" thickBot="1">
      <c r="B33" s="54"/>
      <c r="C33" s="205" t="s">
        <v>193</v>
      </c>
      <c r="D33" s="77"/>
      <c r="E33" s="52"/>
      <c r="F33" s="52"/>
      <c r="G33" s="52"/>
      <c r="H33" s="52"/>
      <c r="I33" s="52"/>
      <c r="J33" s="52"/>
      <c r="K33" s="52"/>
      <c r="L33" s="52"/>
      <c r="M33" s="52"/>
      <c r="N33" s="52"/>
      <c r="O33" s="52"/>
      <c r="P33" s="52"/>
      <c r="Q33" s="52"/>
      <c r="R33" s="52"/>
      <c r="S33" s="52"/>
      <c r="T33" s="52"/>
      <c r="U33" s="52"/>
      <c r="V33" s="53"/>
    </row>
    <row r="34" spans="2:22" ht="12.75">
      <c r="B34" s="44"/>
      <c r="C34" s="82" t="s">
        <v>158</v>
      </c>
      <c r="D34" s="78">
        <v>3</v>
      </c>
      <c r="E34" s="48"/>
      <c r="F34" s="61">
        <f>' City Side Phase 1'!W37</f>
      </c>
      <c r="G34" s="62">
        <f>'Blenheim Court'!W37</f>
      </c>
      <c r="H34" s="62">
        <f>'Central Living Village '!W37</f>
      </c>
      <c r="I34" s="62">
        <f>'St Marks Residence'!W37</f>
      </c>
      <c r="J34" s="62">
        <f>'Woodhouse Street'!W37</f>
        <v>10</v>
      </c>
      <c r="K34" s="62">
        <f>'Servia Road'!W37</f>
      </c>
      <c r="L34" s="62">
        <f>'+Cavendish Street'!W37</f>
      </c>
      <c r="M34" s="62">
        <f>'City Side Phase 2'!W37</f>
      </c>
      <c r="N34" s="62">
        <f>'5 Burley Road (Opal 2)'!W37</f>
      </c>
      <c r="O34" s="62">
        <f>'City Side Phase 3'!W37</f>
      </c>
      <c r="P34" s="62">
        <f>'Broadcasting Place'!W31</f>
      </c>
      <c r="Q34" s="62">
        <f>'The Plaza Clay Pit Lane'!W37</f>
      </c>
      <c r="R34" s="62">
        <f>'6 Bingley Street'!W37</f>
      </c>
      <c r="S34" s="62">
        <f>'1 - 3 Burley Road (Opal 1)'!K32</f>
      </c>
      <c r="T34" s="169">
        <f>SUM(F34:S34)/(COUNTIF(F34:S34,"&gt;0"))</f>
        <v>10</v>
      </c>
      <c r="U34" s="48"/>
      <c r="V34" s="37"/>
    </row>
    <row r="35" spans="2:22" ht="12.75">
      <c r="B35" s="44"/>
      <c r="C35" s="76"/>
      <c r="D35" s="79">
        <v>4</v>
      </c>
      <c r="E35" s="48"/>
      <c r="F35" s="81">
        <f>' City Side Phase 1'!W38</f>
        <v>7.6</v>
      </c>
      <c r="G35" s="32">
        <f>'Blenheim Court'!W38</f>
      </c>
      <c r="H35" s="32">
        <f>'Central Living Village '!W38</f>
        <v>6.75</v>
      </c>
      <c r="I35" s="32">
        <f>'St Marks Residence'!W38</f>
        <v>8.34375</v>
      </c>
      <c r="J35" s="32">
        <f>'Woodhouse Street'!W38</f>
        <v>9.5</v>
      </c>
      <c r="K35" s="32">
        <f>'Servia Road'!W38</f>
        <v>6.685185185185185</v>
      </c>
      <c r="L35" s="32">
        <f>'+Cavendish Street'!W38</f>
        <v>4.90625</v>
      </c>
      <c r="M35" s="32">
        <f>'City Side Phase 2'!W38</f>
      </c>
      <c r="N35" s="32">
        <f>'5 Burley Road (Opal 2)'!W38</f>
        <v>5.5</v>
      </c>
      <c r="O35" s="32">
        <f>'City Side Phase 3'!W38</f>
      </c>
      <c r="P35" s="32">
        <f>'Broadcasting Place'!W32</f>
      </c>
      <c r="Q35" s="32">
        <f>'The Plaza Clay Pit Lane'!W38</f>
      </c>
      <c r="R35" s="32">
        <f>'6 Bingley Street'!W38</f>
      </c>
      <c r="S35" s="32">
        <f>'1 - 3 Burley Road (Opal 1)'!K33</f>
      </c>
      <c r="T35" s="170">
        <f aca="true" t="shared" si="1" ref="T35:T41">SUM(F35:S35)/(COUNTIF(F35:S35,"&gt;0"))</f>
        <v>7.04074074074074</v>
      </c>
      <c r="U35" s="48"/>
      <c r="V35" s="37"/>
    </row>
    <row r="36" spans="2:22" ht="12.75">
      <c r="B36" s="44"/>
      <c r="C36" s="76"/>
      <c r="D36" s="79">
        <v>5</v>
      </c>
      <c r="E36" s="48"/>
      <c r="F36" s="81">
        <f>' City Side Phase 1'!W39</f>
      </c>
      <c r="G36" s="32">
        <f>'Blenheim Court'!W39</f>
        <v>5.714285714285714</v>
      </c>
      <c r="H36" s="32">
        <f>'Central Living Village '!W39</f>
        <v>5</v>
      </c>
      <c r="I36" s="32">
        <f>'St Marks Residence'!W39</f>
        <v>6.6</v>
      </c>
      <c r="J36" s="32">
        <f>'Woodhouse Street'!W39</f>
        <v>7.833333333333333</v>
      </c>
      <c r="K36" s="32">
        <f>'Servia Road'!W39</f>
      </c>
      <c r="L36" s="32">
        <f>'+Cavendish Street'!W39</f>
        <v>4.733333333333333</v>
      </c>
      <c r="M36" s="32">
        <f>'City Side Phase 2'!W39</f>
        <v>5.7</v>
      </c>
      <c r="N36" s="32">
        <f>'5 Burley Road (Opal 2)'!W39</f>
        <v>4.8</v>
      </c>
      <c r="O36" s="32">
        <f>'City Side Phase 3'!W39</f>
        <v>5.6</v>
      </c>
      <c r="P36" s="32">
        <f>'Broadcasting Place'!W33</f>
      </c>
      <c r="Q36" s="32">
        <f>'The Plaza Clay Pit Lane'!W39</f>
      </c>
      <c r="R36" s="32">
        <f>'6 Bingley Street'!W39</f>
      </c>
      <c r="S36" s="32">
        <f>'1 - 3 Burley Road (Opal 1)'!K34</f>
      </c>
      <c r="T36" s="170">
        <f t="shared" si="1"/>
        <v>5.747619047619048</v>
      </c>
      <c r="U36" s="48"/>
      <c r="V36" s="37"/>
    </row>
    <row r="37" spans="2:22" ht="12.75">
      <c r="B37" s="44"/>
      <c r="C37" s="76"/>
      <c r="D37" s="79">
        <v>6</v>
      </c>
      <c r="E37" s="48"/>
      <c r="F37" s="81">
        <f>' City Side Phase 1'!W40</f>
        <v>4.851984126984127</v>
      </c>
      <c r="G37" s="32">
        <f>'Blenheim Court'!W40</f>
        <v>4.666666666666667</v>
      </c>
      <c r="H37" s="32">
        <f>'Central Living Village '!W40</f>
        <v>4.276422764227642</v>
      </c>
      <c r="I37" s="32">
        <f>'St Marks Residence'!W40</f>
        <v>5.484126984126984</v>
      </c>
      <c r="J37" s="32">
        <f>'Woodhouse Street'!W40</f>
        <v>5.333333333333333</v>
      </c>
      <c r="K37" s="32">
        <f>'Servia Road'!W40</f>
        <v>6.666666666666667</v>
      </c>
      <c r="L37" s="32">
        <f>'+Cavendish Street'!W40</f>
      </c>
      <c r="M37" s="32">
        <f>'City Side Phase 2'!W40</f>
        <v>4.436274509803922</v>
      </c>
      <c r="N37" s="32">
        <f>'5 Burley Road (Opal 2)'!W40</f>
      </c>
      <c r="O37" s="32">
        <f>'City Side Phase 3'!W40</f>
        <v>4.666666666666667</v>
      </c>
      <c r="P37" s="32">
        <f>'Broadcasting Place'!W34</f>
      </c>
      <c r="Q37" s="32">
        <f>'The Plaza Clay Pit Lane'!W40</f>
      </c>
      <c r="R37" s="32">
        <f>'6 Bingley Street'!W40</f>
      </c>
      <c r="S37" s="32">
        <f>'1 - 3 Burley Road (Opal 1)'!K35</f>
      </c>
      <c r="T37" s="170">
        <f t="shared" si="1"/>
        <v>5.047767714809501</v>
      </c>
      <c r="U37" s="48"/>
      <c r="V37" s="37"/>
    </row>
    <row r="38" spans="2:22" ht="12.75">
      <c r="B38" s="44"/>
      <c r="C38" s="76"/>
      <c r="D38" s="79">
        <v>7</v>
      </c>
      <c r="E38" s="48"/>
      <c r="F38" s="81">
        <f>' City Side Phase 1'!W41</f>
      </c>
      <c r="G38" s="32">
        <f>'Blenheim Court'!W41</f>
        <v>4.857142857142857</v>
      </c>
      <c r="H38" s="32">
        <f>'Central Living Village '!W41</f>
      </c>
      <c r="I38" s="32">
        <f>'St Marks Residence'!W41</f>
        <v>6.142857142857143</v>
      </c>
      <c r="J38" s="32">
        <f>'Woodhouse Street'!W41</f>
        <v>5.238095238095238</v>
      </c>
      <c r="K38" s="32">
        <f>'Servia Road'!W41</f>
      </c>
      <c r="L38" s="32">
        <f>'+Cavendish Street'!W41</f>
        <v>4.857142857142857</v>
      </c>
      <c r="M38" s="32">
        <f>'City Side Phase 2'!W41</f>
      </c>
      <c r="N38" s="32">
        <f>'5 Burley Road (Opal 2)'!W41</f>
      </c>
      <c r="O38" s="32">
        <f>'City Side Phase 3'!W41</f>
      </c>
      <c r="P38" s="32">
        <f>'Broadcasting Place'!W35</f>
      </c>
      <c r="Q38" s="32">
        <f>'The Plaza Clay Pit Lane'!W41</f>
      </c>
      <c r="R38" s="32">
        <f>'6 Bingley Street'!W41</f>
      </c>
      <c r="S38" s="32">
        <f>'1 - 3 Burley Road (Opal 1)'!K36</f>
      </c>
      <c r="T38" s="170">
        <f t="shared" si="1"/>
        <v>5.273809523809524</v>
      </c>
      <c r="U38" s="48"/>
      <c r="V38" s="37"/>
    </row>
    <row r="39" spans="2:22" ht="12.75">
      <c r="B39" s="44"/>
      <c r="C39" s="76"/>
      <c r="D39" s="79">
        <v>8</v>
      </c>
      <c r="E39" s="48"/>
      <c r="F39" s="81">
        <f>' City Side Phase 1'!W42</f>
      </c>
      <c r="G39" s="32">
        <f>'Blenheim Court'!W42</f>
        <v>3</v>
      </c>
      <c r="H39" s="32">
        <f>'Central Living Village '!W42</f>
      </c>
      <c r="I39" s="32">
        <f>'St Marks Residence'!W42</f>
        <v>3.5</v>
      </c>
      <c r="J39" s="32">
        <f>'Woodhouse Street'!W42</f>
        <v>6.25</v>
      </c>
      <c r="K39" s="32">
        <f>'Servia Road'!W42</f>
      </c>
      <c r="L39" s="32">
        <f>'+Cavendish Street'!W42</f>
      </c>
      <c r="M39" s="32">
        <f>'City Side Phase 2'!W42</f>
      </c>
      <c r="N39" s="32">
        <f>'5 Burley Road (Opal 2)'!W42</f>
      </c>
      <c r="O39" s="32">
        <f>'City Side Phase 3'!W42</f>
      </c>
      <c r="P39" s="32">
        <f>'Broadcasting Place'!W36</f>
      </c>
      <c r="Q39" s="32">
        <f>'The Plaza Clay Pit Lane'!W42</f>
      </c>
      <c r="R39" s="32">
        <f>'6 Bingley Street'!W42</f>
      </c>
      <c r="S39" s="32">
        <f>'1 - 3 Burley Road (Opal 1)'!K37</f>
      </c>
      <c r="T39" s="170">
        <f t="shared" si="1"/>
        <v>4.25</v>
      </c>
      <c r="U39" s="48"/>
      <c r="V39" s="37"/>
    </row>
    <row r="40" spans="2:22" ht="12.75">
      <c r="B40" s="44"/>
      <c r="C40" s="76"/>
      <c r="D40" s="79">
        <v>9</v>
      </c>
      <c r="E40" s="48"/>
      <c r="F40" s="81">
        <f>' City Side Phase 1'!W43</f>
      </c>
      <c r="G40" s="32">
        <f>'Blenheim Court'!W43</f>
      </c>
      <c r="H40" s="32">
        <f>'Central Living Village '!W43</f>
      </c>
      <c r="I40" s="32">
        <f>'St Marks Residence'!W43</f>
        <v>4.301587301587301</v>
      </c>
      <c r="J40" s="32">
        <f>'Woodhouse Street'!W43</f>
      </c>
      <c r="K40" s="32">
        <f>'Servia Road'!W43</f>
      </c>
      <c r="L40" s="32">
        <f>'+Cavendish Street'!W43</f>
      </c>
      <c r="M40" s="32">
        <f>'City Side Phase 2'!W43</f>
      </c>
      <c r="N40" s="32">
        <f>'5 Burley Road (Opal 2)'!W43</f>
      </c>
      <c r="O40" s="32">
        <f>'City Side Phase 3'!W43</f>
      </c>
      <c r="P40" s="32">
        <f>'Broadcasting Place'!W37</f>
      </c>
      <c r="Q40" s="32">
        <f>'The Plaza Clay Pit Lane'!W43</f>
      </c>
      <c r="R40" s="32">
        <f>'6 Bingley Street'!W43</f>
      </c>
      <c r="S40" s="32">
        <f>'1 - 3 Burley Road (Opal 1)'!K38</f>
      </c>
      <c r="T40" s="170">
        <f t="shared" si="1"/>
        <v>4.301587301587301</v>
      </c>
      <c r="U40" s="48"/>
      <c r="V40" s="37"/>
    </row>
    <row r="41" spans="2:22" ht="12.75">
      <c r="B41" s="44"/>
      <c r="C41" s="76"/>
      <c r="D41" s="80">
        <v>10</v>
      </c>
      <c r="E41" s="48"/>
      <c r="F41" s="63">
        <f>' City Side Phase 1'!W44</f>
      </c>
      <c r="G41" s="56">
        <f>'Blenheim Court'!W44</f>
        <v>3</v>
      </c>
      <c r="H41" s="56">
        <f>'Central Living Village '!W44</f>
      </c>
      <c r="I41" s="56">
        <f>'St Marks Residence'!W44</f>
      </c>
      <c r="J41" s="56">
        <f>'Woodhouse Street'!W44</f>
      </c>
      <c r="K41" s="56">
        <f>'Servia Road'!W44</f>
      </c>
      <c r="L41" s="56">
        <f>'+Cavendish Street'!W44</f>
      </c>
      <c r="M41" s="56">
        <f>'City Side Phase 2'!W44</f>
      </c>
      <c r="N41" s="56">
        <f>'5 Burley Road (Opal 2)'!W44</f>
      </c>
      <c r="O41" s="56">
        <f>'City Side Phase 3'!W44</f>
      </c>
      <c r="P41" s="56">
        <f>'Broadcasting Place'!W38</f>
      </c>
      <c r="Q41" s="56">
        <f>'The Plaza Clay Pit Lane'!W44</f>
      </c>
      <c r="R41" s="56">
        <f>'6 Bingley Street'!W44</f>
      </c>
      <c r="S41" s="56">
        <f>'1 - 3 Burley Road (Opal 1)'!K39</f>
      </c>
      <c r="T41" s="171">
        <f t="shared" si="1"/>
        <v>3</v>
      </c>
      <c r="U41" s="48"/>
      <c r="V41" s="37"/>
    </row>
    <row r="42" spans="2:22" ht="13.5" thickBot="1">
      <c r="B42" s="31"/>
      <c r="C42" s="41"/>
      <c r="D42" s="41"/>
      <c r="E42" s="41"/>
      <c r="F42" s="41"/>
      <c r="G42" s="41"/>
      <c r="H42" s="41"/>
      <c r="I42" s="41"/>
      <c r="J42" s="41"/>
      <c r="K42" s="41"/>
      <c r="L42" s="41"/>
      <c r="M42" s="41"/>
      <c r="N42" s="41"/>
      <c r="O42" s="41"/>
      <c r="P42" s="41"/>
      <c r="Q42" s="41"/>
      <c r="R42" s="41"/>
      <c r="S42" s="41"/>
      <c r="T42" s="41"/>
      <c r="U42" s="41"/>
      <c r="V42" s="38"/>
    </row>
    <row r="43" ht="12.75"/>
    <row r="45" ht="12.7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73"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T14"/>
  <sheetViews>
    <sheetView zoomScalePageLayoutView="0" workbookViewId="0" topLeftCell="A1">
      <selection activeCell="H24" sqref="H24"/>
    </sheetView>
  </sheetViews>
  <sheetFormatPr defaultColWidth="9.140625" defaultRowHeight="15"/>
  <cols>
    <col min="2" max="2" width="47.8515625" style="0" customWidth="1"/>
    <col min="3" max="3" width="9.00390625" style="0" customWidth="1"/>
    <col min="13" max="13" width="11.7109375" style="0" customWidth="1"/>
    <col min="17" max="17" width="12.421875" style="0" customWidth="1"/>
    <col min="18" max="18" width="9.140625" style="26" customWidth="1"/>
  </cols>
  <sheetData>
    <row r="1" spans="1:20" ht="51">
      <c r="A1" s="183" t="s">
        <v>189</v>
      </c>
      <c r="B1" s="7"/>
      <c r="C1" s="223" t="s">
        <v>142</v>
      </c>
      <c r="D1" s="223" t="s">
        <v>143</v>
      </c>
      <c r="E1" s="223" t="s">
        <v>122</v>
      </c>
      <c r="F1" s="223" t="s">
        <v>49</v>
      </c>
      <c r="G1" s="223" t="s">
        <v>4</v>
      </c>
      <c r="H1" s="223" t="s">
        <v>144</v>
      </c>
      <c r="I1" s="223" t="s">
        <v>6</v>
      </c>
      <c r="J1" s="223" t="s">
        <v>0</v>
      </c>
      <c r="K1" s="223" t="s">
        <v>145</v>
      </c>
      <c r="L1" s="223" t="s">
        <v>1</v>
      </c>
      <c r="M1" s="223" t="s">
        <v>2</v>
      </c>
      <c r="N1" s="223" t="s">
        <v>146</v>
      </c>
      <c r="O1" s="223" t="s">
        <v>5</v>
      </c>
      <c r="P1" s="223" t="s">
        <v>147</v>
      </c>
      <c r="Q1" s="191" t="s">
        <v>148</v>
      </c>
      <c r="R1" s="192" t="s">
        <v>192</v>
      </c>
      <c r="S1" s="206"/>
      <c r="T1" s="3"/>
    </row>
    <row r="2" spans="1:20" ht="15">
      <c r="A2" s="7"/>
      <c r="B2" s="90" t="s">
        <v>185</v>
      </c>
      <c r="C2" s="181">
        <f>'Summary Sheet'!F16</f>
        <v>14.106827309236948</v>
      </c>
      <c r="D2" s="181">
        <f>'Summary Sheet'!G16</f>
        <v>13.454545454545455</v>
      </c>
      <c r="E2" s="181">
        <f>'Summary Sheet'!H16</f>
        <v>13.330769230769231</v>
      </c>
      <c r="F2" s="181">
        <f>'Summary Sheet'!I16</f>
        <v>14.080614203454894</v>
      </c>
      <c r="G2" s="181">
        <f>'Summary Sheet'!J16</f>
        <v>14.357142857142858</v>
      </c>
      <c r="H2" s="181">
        <f>'Summary Sheet'!K16</f>
        <v>14</v>
      </c>
      <c r="I2" s="181">
        <f>'Summary Sheet'!L16</f>
        <v>13</v>
      </c>
      <c r="J2" s="181">
        <f>'Summary Sheet'!M16</f>
        <v>14.156476683937823</v>
      </c>
      <c r="K2" s="181">
        <f>'Summary Sheet'!N16</f>
        <v>13.121904761904762</v>
      </c>
      <c r="L2" s="181">
        <f>'Summary Sheet'!O16</f>
        <v>14.86472148541114</v>
      </c>
      <c r="M2" s="181">
        <f>'Summary Sheet'!P16</f>
        <v>12.142857142857142</v>
      </c>
      <c r="N2" s="181">
        <f>'Summary Sheet'!Q16</f>
        <v>12.64380044020543</v>
      </c>
      <c r="O2" s="181">
        <f>'Summary Sheet'!R16</f>
        <v>14</v>
      </c>
      <c r="P2" s="181">
        <f>'Summary Sheet'!S16</f>
        <v>13.544303797468354</v>
      </c>
      <c r="Q2" s="193">
        <f>'Summary Sheet'!T16</f>
        <v>13.49598698481562</v>
      </c>
      <c r="R2" s="194"/>
      <c r="S2" s="3"/>
      <c r="T2" s="3"/>
    </row>
    <row r="3" spans="1:20" ht="15">
      <c r="A3" s="7"/>
      <c r="B3" s="90" t="s">
        <v>188</v>
      </c>
      <c r="C3" s="181">
        <f>'Summary Sheet'!F20</f>
        <v>36</v>
      </c>
      <c r="D3" s="181">
        <f>'Summary Sheet'!G20</f>
        <v>0</v>
      </c>
      <c r="E3" s="181">
        <f>'Summary Sheet'!H20</f>
        <v>0</v>
      </c>
      <c r="F3" s="181">
        <f>'Summary Sheet'!I20</f>
        <v>0</v>
      </c>
      <c r="G3" s="181">
        <f>'Summary Sheet'!J20</f>
        <v>0</v>
      </c>
      <c r="H3" s="181">
        <f>'Summary Sheet'!K20</f>
        <v>0</v>
      </c>
      <c r="I3" s="181">
        <f>'Summary Sheet'!L20</f>
        <v>30</v>
      </c>
      <c r="J3" s="181">
        <f>'Summary Sheet'!M20</f>
        <v>0</v>
      </c>
      <c r="K3" s="181">
        <f>'Summary Sheet'!N20</f>
        <v>24.5</v>
      </c>
      <c r="L3" s="181">
        <f>'Summary Sheet'!O20</f>
        <v>22</v>
      </c>
      <c r="M3" s="181">
        <f>'Summary Sheet'!P20</f>
        <v>23</v>
      </c>
      <c r="N3" s="181">
        <f>'Summary Sheet'!Q20</f>
        <v>28.128205128205128</v>
      </c>
      <c r="O3" s="181">
        <f>'Summary Sheet'!R20</f>
        <v>28.06896551724138</v>
      </c>
      <c r="P3" s="181">
        <f>'Summary Sheet'!S20</f>
        <v>35</v>
      </c>
      <c r="Q3" s="193">
        <f>'Summary Sheet'!T20</f>
        <v>28.337146330680817</v>
      </c>
      <c r="R3" s="194"/>
      <c r="S3" s="3"/>
      <c r="T3" s="3"/>
    </row>
    <row r="4" spans="1:20" ht="15">
      <c r="A4" s="7"/>
      <c r="B4" s="90" t="s">
        <v>179</v>
      </c>
      <c r="C4" s="181">
        <f>'Summary Sheet'!F27</f>
        <v>20.2</v>
      </c>
      <c r="D4" s="181">
        <f>'Summary Sheet'!G27</f>
        <v>21.285714285714285</v>
      </c>
      <c r="E4" s="181">
        <f>'Summary Sheet'!H27</f>
        <v>0</v>
      </c>
      <c r="F4" s="181">
        <f>'Summary Sheet'!I27</f>
        <v>36.5</v>
      </c>
      <c r="G4" s="181">
        <f>'Summary Sheet'!J27</f>
        <v>18</v>
      </c>
      <c r="H4" s="181">
        <f>'Summary Sheet'!K27</f>
        <v>23</v>
      </c>
      <c r="I4" s="181">
        <f>'Summary Sheet'!L27</f>
        <v>19</v>
      </c>
      <c r="J4" s="181">
        <f>'Summary Sheet'!M27</f>
        <v>20.8</v>
      </c>
      <c r="K4" s="181">
        <f>'Summary Sheet'!N27</f>
        <v>20</v>
      </c>
      <c r="L4" s="181">
        <f>'Summary Sheet'!O27</f>
        <v>0</v>
      </c>
      <c r="M4" s="181">
        <f>'Summary Sheet'!P27</f>
        <v>19</v>
      </c>
      <c r="N4" s="181">
        <f>'Summary Sheet'!Q27</f>
        <v>0</v>
      </c>
      <c r="O4" s="181">
        <f>'Summary Sheet'!R27</f>
        <v>21</v>
      </c>
      <c r="P4" s="181">
        <f>'Summary Sheet'!S27</f>
        <v>0</v>
      </c>
      <c r="Q4" s="193">
        <f>'Summary Sheet'!T27</f>
        <v>21.878571428571426</v>
      </c>
      <c r="R4" s="194"/>
      <c r="S4" s="3"/>
      <c r="T4" s="3"/>
    </row>
    <row r="5" spans="1:20" ht="15">
      <c r="A5" s="7"/>
      <c r="B5" s="90" t="s">
        <v>169</v>
      </c>
      <c r="C5" s="181">
        <f>'Summary Sheet'!F29</f>
        <v>0.4788602941176471</v>
      </c>
      <c r="D5" s="181">
        <f>'Summary Sheet'!G29</f>
        <v>0.5073170731707317</v>
      </c>
      <c r="E5" s="181">
        <f>'Summary Sheet'!H29</f>
        <v>0</v>
      </c>
      <c r="F5" s="181">
        <f>'Summary Sheet'!I29</f>
        <v>0.4588910133843212</v>
      </c>
      <c r="G5" s="181">
        <f>'Summary Sheet'!J29</f>
        <v>0</v>
      </c>
      <c r="H5" s="181">
        <f>'Summary Sheet'!K29</f>
        <v>0.1342281879194631</v>
      </c>
      <c r="I5" s="181">
        <f>'Summary Sheet'!L29</f>
        <v>0.664804469273743</v>
      </c>
      <c r="J5" s="181">
        <f>'Summary Sheet'!M29</f>
        <v>0.22277227722772278</v>
      </c>
      <c r="K5" s="181">
        <f>'Summary Sheet'!N29</f>
        <v>0.0990990990990991</v>
      </c>
      <c r="L5" s="181">
        <f>'Summary Sheet'!O29</f>
        <v>1.3174946004319654</v>
      </c>
      <c r="M5" s="181">
        <f>'Summary Sheet'!P29</f>
        <v>0</v>
      </c>
      <c r="N5" s="181">
        <f>'Summary Sheet'!Q29</f>
        <v>0.1699942954934398</v>
      </c>
      <c r="O5" s="181">
        <f>'Summary Sheet'!R29</f>
        <v>0.8494897959183674</v>
      </c>
      <c r="P5" s="181">
        <f>'Summary Sheet'!S29</f>
        <v>0</v>
      </c>
      <c r="Q5" s="196" t="str">
        <f>'Summary Sheet'!T29</f>
        <v>0.35   (0.49)</v>
      </c>
      <c r="R5" s="194"/>
      <c r="S5" s="3"/>
      <c r="T5" s="3"/>
    </row>
    <row r="6" spans="1:20" ht="15">
      <c r="A6" s="7"/>
      <c r="B6" s="7"/>
      <c r="C6" s="7"/>
      <c r="D6" s="7"/>
      <c r="E6" s="7"/>
      <c r="F6" s="7"/>
      <c r="G6" s="7"/>
      <c r="H6" s="7"/>
      <c r="I6" s="7"/>
      <c r="J6" s="7"/>
      <c r="K6" s="7"/>
      <c r="L6" s="7"/>
      <c r="M6" s="7"/>
      <c r="N6" s="7"/>
      <c r="O6" s="7"/>
      <c r="P6" s="7"/>
      <c r="Q6" s="195"/>
      <c r="R6" s="194"/>
      <c r="S6" s="3"/>
      <c r="T6" s="3"/>
    </row>
    <row r="7" spans="1:20" ht="15">
      <c r="A7" s="183">
        <v>3</v>
      </c>
      <c r="B7" s="90" t="s">
        <v>171</v>
      </c>
      <c r="C7" s="181">
        <f>'Summary Sheet'!F34</f>
      </c>
      <c r="D7" s="181">
        <f>'Summary Sheet'!G34</f>
      </c>
      <c r="E7" s="181">
        <f>'Summary Sheet'!H34</f>
      </c>
      <c r="F7" s="181">
        <f>'Summary Sheet'!I34</f>
      </c>
      <c r="G7" s="181">
        <f>'Summary Sheet'!J34</f>
        <v>10</v>
      </c>
      <c r="H7" s="181">
        <f>'Summary Sheet'!K34</f>
      </c>
      <c r="I7" s="181">
        <f>'Summary Sheet'!L34</f>
      </c>
      <c r="J7" s="181">
        <f>'Summary Sheet'!M34</f>
      </c>
      <c r="K7" s="181">
        <f>'Summary Sheet'!N34</f>
      </c>
      <c r="L7" s="181">
        <f>'Summary Sheet'!O34</f>
      </c>
      <c r="M7" s="181">
        <f>'Summary Sheet'!P34</f>
      </c>
      <c r="N7" s="181">
        <f>'Summary Sheet'!Q34</f>
      </c>
      <c r="O7" s="181">
        <f>'Summary Sheet'!R34</f>
      </c>
      <c r="P7" s="181">
        <f>'Summary Sheet'!S34</f>
      </c>
      <c r="Q7" s="193">
        <f>'Summary Sheet'!T34</f>
        <v>10</v>
      </c>
      <c r="R7" s="197">
        <f aca="true" t="shared" si="0" ref="R7:R14">SUM(Q7*A7)</f>
        <v>30</v>
      </c>
      <c r="S7" s="3"/>
      <c r="T7" s="3"/>
    </row>
    <row r="8" spans="1:20" ht="15">
      <c r="A8" s="183">
        <v>4</v>
      </c>
      <c r="B8" s="90" t="s">
        <v>172</v>
      </c>
      <c r="C8" s="181">
        <f>'Summary Sheet'!F35</f>
        <v>7.6</v>
      </c>
      <c r="D8" s="181">
        <f>'Summary Sheet'!G35</f>
      </c>
      <c r="E8" s="181">
        <f>'Summary Sheet'!H35</f>
        <v>6.75</v>
      </c>
      <c r="F8" s="181">
        <f>'Summary Sheet'!I35</f>
        <v>8.34375</v>
      </c>
      <c r="G8" s="181">
        <f>'Summary Sheet'!J35</f>
        <v>9.5</v>
      </c>
      <c r="H8" s="181">
        <f>'Summary Sheet'!K35</f>
        <v>6.685185185185185</v>
      </c>
      <c r="I8" s="181">
        <f>'Summary Sheet'!L35</f>
        <v>4.90625</v>
      </c>
      <c r="J8" s="181">
        <f>'Summary Sheet'!M35</f>
      </c>
      <c r="K8" s="181">
        <f>'Summary Sheet'!N35</f>
        <v>5.5</v>
      </c>
      <c r="L8" s="181">
        <f>'Summary Sheet'!O35</f>
      </c>
      <c r="M8" s="181">
        <f>'Summary Sheet'!P35</f>
      </c>
      <c r="N8" s="181">
        <f>'Summary Sheet'!Q35</f>
      </c>
      <c r="O8" s="181">
        <f>'Summary Sheet'!R35</f>
      </c>
      <c r="P8" s="181">
        <f>'Summary Sheet'!S35</f>
      </c>
      <c r="Q8" s="193">
        <f>'Summary Sheet'!T35</f>
        <v>7.04074074074074</v>
      </c>
      <c r="R8" s="197">
        <f t="shared" si="0"/>
        <v>28.16296296296296</v>
      </c>
      <c r="S8" s="3"/>
      <c r="T8" s="3"/>
    </row>
    <row r="9" spans="1:20" ht="15">
      <c r="A9" s="183">
        <v>5</v>
      </c>
      <c r="B9" s="90" t="s">
        <v>174</v>
      </c>
      <c r="C9" s="181">
        <f>'Summary Sheet'!F36</f>
      </c>
      <c r="D9" s="181">
        <f>'Summary Sheet'!G36</f>
        <v>5.714285714285714</v>
      </c>
      <c r="E9" s="181">
        <f>'Summary Sheet'!H36</f>
        <v>5</v>
      </c>
      <c r="F9" s="181">
        <f>'Summary Sheet'!I36</f>
        <v>6.6</v>
      </c>
      <c r="G9" s="181">
        <f>'Summary Sheet'!J36</f>
        <v>7.833333333333333</v>
      </c>
      <c r="H9" s="181">
        <f>'Summary Sheet'!K36</f>
      </c>
      <c r="I9" s="181">
        <f>'Summary Sheet'!L36</f>
        <v>4.733333333333333</v>
      </c>
      <c r="J9" s="181">
        <f>'Summary Sheet'!M36</f>
        <v>5.7</v>
      </c>
      <c r="K9" s="181">
        <f>'Summary Sheet'!N36</f>
        <v>4.8</v>
      </c>
      <c r="L9" s="181">
        <f>'Summary Sheet'!O36</f>
        <v>5.6</v>
      </c>
      <c r="M9" s="181">
        <f>'Summary Sheet'!P36</f>
      </c>
      <c r="N9" s="181">
        <f>'Summary Sheet'!Q36</f>
      </c>
      <c r="O9" s="181">
        <f>'Summary Sheet'!R36</f>
      </c>
      <c r="P9" s="181">
        <f>'Summary Sheet'!S36</f>
      </c>
      <c r="Q9" s="193">
        <f>'Summary Sheet'!T36</f>
        <v>5.747619047619048</v>
      </c>
      <c r="R9" s="197">
        <f t="shared" si="0"/>
        <v>28.738095238095237</v>
      </c>
      <c r="S9" s="3"/>
      <c r="T9" s="3"/>
    </row>
    <row r="10" spans="1:20" ht="15">
      <c r="A10" s="183">
        <v>6</v>
      </c>
      <c r="B10" s="90" t="s">
        <v>173</v>
      </c>
      <c r="C10" s="181">
        <f>'Summary Sheet'!F37</f>
        <v>4.851984126984127</v>
      </c>
      <c r="D10" s="181">
        <f>'Summary Sheet'!G37</f>
        <v>4.666666666666667</v>
      </c>
      <c r="E10" s="181">
        <f>'Summary Sheet'!H37</f>
        <v>4.276422764227642</v>
      </c>
      <c r="F10" s="181">
        <f>'Summary Sheet'!I37</f>
        <v>5.484126984126984</v>
      </c>
      <c r="G10" s="181">
        <f>'Summary Sheet'!J37</f>
        <v>5.333333333333333</v>
      </c>
      <c r="H10" s="181">
        <f>'Summary Sheet'!K37</f>
        <v>6.666666666666667</v>
      </c>
      <c r="I10" s="181">
        <f>'Summary Sheet'!L37</f>
      </c>
      <c r="J10" s="181">
        <f>'Summary Sheet'!M37</f>
        <v>4.436274509803922</v>
      </c>
      <c r="K10" s="181">
        <f>'Summary Sheet'!N37</f>
      </c>
      <c r="L10" s="181">
        <f>'Summary Sheet'!O37</f>
        <v>4.666666666666667</v>
      </c>
      <c r="M10" s="181">
        <f>'Summary Sheet'!P37</f>
      </c>
      <c r="N10" s="181">
        <f>'Summary Sheet'!Q37</f>
      </c>
      <c r="O10" s="181">
        <f>'Summary Sheet'!R37</f>
      </c>
      <c r="P10" s="181">
        <f>'Summary Sheet'!S37</f>
      </c>
      <c r="Q10" s="193">
        <f>'Summary Sheet'!T37</f>
        <v>5.047767714809501</v>
      </c>
      <c r="R10" s="197">
        <f>SUM(Q10*A10)</f>
        <v>30.286606288857005</v>
      </c>
      <c r="S10" s="207"/>
      <c r="T10" s="3"/>
    </row>
    <row r="11" spans="1:20" ht="15">
      <c r="A11" s="183">
        <v>7</v>
      </c>
      <c r="B11" s="90" t="s">
        <v>175</v>
      </c>
      <c r="C11" s="181">
        <f>'Summary Sheet'!F38</f>
      </c>
      <c r="D11" s="181">
        <f>'Summary Sheet'!G38</f>
        <v>4.857142857142857</v>
      </c>
      <c r="E11" s="181">
        <f>'Summary Sheet'!H38</f>
      </c>
      <c r="F11" s="181">
        <f>'Summary Sheet'!I38</f>
        <v>6.142857142857143</v>
      </c>
      <c r="G11" s="181">
        <f>'Summary Sheet'!J38</f>
        <v>5.238095238095238</v>
      </c>
      <c r="H11" s="181">
        <f>'Summary Sheet'!K38</f>
      </c>
      <c r="I11" s="181">
        <f>'Summary Sheet'!L38</f>
        <v>4.857142857142857</v>
      </c>
      <c r="J11" s="181">
        <f>'Summary Sheet'!M38</f>
      </c>
      <c r="K11" s="181">
        <f>'Summary Sheet'!N38</f>
      </c>
      <c r="L11" s="181">
        <f>'Summary Sheet'!O38</f>
      </c>
      <c r="M11" s="181">
        <f>'Summary Sheet'!P38</f>
      </c>
      <c r="N11" s="181">
        <f>'Summary Sheet'!Q38</f>
      </c>
      <c r="O11" s="181">
        <f>'Summary Sheet'!R38</f>
      </c>
      <c r="P11" s="181">
        <f>'Summary Sheet'!S38</f>
      </c>
      <c r="Q11" s="193">
        <f>'Summary Sheet'!T38</f>
        <v>5.273809523809524</v>
      </c>
      <c r="R11" s="197">
        <f t="shared" si="0"/>
        <v>36.916666666666664</v>
      </c>
      <c r="S11" s="3"/>
      <c r="T11" s="3"/>
    </row>
    <row r="12" spans="1:20" ht="15">
      <c r="A12" s="183">
        <v>8</v>
      </c>
      <c r="B12" s="90" t="s">
        <v>176</v>
      </c>
      <c r="C12" s="181">
        <f>'Summary Sheet'!F39</f>
      </c>
      <c r="D12" s="181">
        <f>'Summary Sheet'!G39</f>
        <v>3</v>
      </c>
      <c r="E12" s="181">
        <f>'Summary Sheet'!H39</f>
      </c>
      <c r="F12" s="181">
        <f>'Summary Sheet'!I39</f>
        <v>3.5</v>
      </c>
      <c r="G12" s="181">
        <f>'Summary Sheet'!J39</f>
        <v>6.25</v>
      </c>
      <c r="H12" s="181">
        <f>'Summary Sheet'!K39</f>
      </c>
      <c r="I12" s="181">
        <f>'Summary Sheet'!L39</f>
      </c>
      <c r="J12" s="181">
        <f>'Summary Sheet'!M39</f>
      </c>
      <c r="K12" s="181">
        <f>'Summary Sheet'!N39</f>
      </c>
      <c r="L12" s="181">
        <f>'Summary Sheet'!O39</f>
      </c>
      <c r="M12" s="181">
        <f>'Summary Sheet'!P39</f>
      </c>
      <c r="N12" s="181">
        <f>'Summary Sheet'!Q39</f>
      </c>
      <c r="O12" s="181">
        <f>'Summary Sheet'!R39</f>
      </c>
      <c r="P12" s="181">
        <f>'Summary Sheet'!S39</f>
      </c>
      <c r="Q12" s="193">
        <f>'Summary Sheet'!T39</f>
        <v>4.25</v>
      </c>
      <c r="R12" s="197">
        <f t="shared" si="0"/>
        <v>34</v>
      </c>
      <c r="S12" s="3"/>
      <c r="T12" s="3"/>
    </row>
    <row r="13" spans="1:20" ht="15">
      <c r="A13" s="183">
        <v>9</v>
      </c>
      <c r="B13" s="90" t="s">
        <v>177</v>
      </c>
      <c r="C13" s="181">
        <f>'Summary Sheet'!F40</f>
      </c>
      <c r="D13" s="181">
        <f>'Summary Sheet'!G40</f>
      </c>
      <c r="E13" s="181">
        <f>'Summary Sheet'!H40</f>
      </c>
      <c r="F13" s="181">
        <f>'Summary Sheet'!I40</f>
        <v>4.301587301587301</v>
      </c>
      <c r="G13" s="181">
        <f>'Summary Sheet'!J40</f>
      </c>
      <c r="H13" s="181">
        <f>'Summary Sheet'!K40</f>
      </c>
      <c r="I13" s="181">
        <f>'Summary Sheet'!L40</f>
      </c>
      <c r="J13" s="181">
        <f>'Summary Sheet'!M40</f>
      </c>
      <c r="K13" s="181">
        <f>'Summary Sheet'!N40</f>
      </c>
      <c r="L13" s="181">
        <f>'Summary Sheet'!O40</f>
      </c>
      <c r="M13" s="181">
        <f>'Summary Sheet'!P40</f>
      </c>
      <c r="N13" s="181">
        <f>'Summary Sheet'!Q40</f>
      </c>
      <c r="O13" s="181">
        <f>'Summary Sheet'!R40</f>
      </c>
      <c r="P13" s="181">
        <f>'Summary Sheet'!S40</f>
      </c>
      <c r="Q13" s="193">
        <f>'Summary Sheet'!T40</f>
        <v>4.301587301587301</v>
      </c>
      <c r="R13" s="197">
        <f t="shared" si="0"/>
        <v>38.714285714285715</v>
      </c>
      <c r="S13" s="207"/>
      <c r="T13" s="3"/>
    </row>
    <row r="14" spans="1:20" ht="15">
      <c r="A14" s="183">
        <v>10</v>
      </c>
      <c r="B14" s="90" t="s">
        <v>178</v>
      </c>
      <c r="C14" s="181">
        <f>'Summary Sheet'!F41</f>
      </c>
      <c r="D14" s="181">
        <f>'Summary Sheet'!G41</f>
        <v>3</v>
      </c>
      <c r="E14" s="181">
        <f>'Summary Sheet'!H41</f>
      </c>
      <c r="F14" s="181">
        <f>'Summary Sheet'!I41</f>
      </c>
      <c r="G14" s="181">
        <f>'Summary Sheet'!J41</f>
      </c>
      <c r="H14" s="181">
        <f>'Summary Sheet'!K41</f>
      </c>
      <c r="I14" s="181">
        <f>'Summary Sheet'!L41</f>
      </c>
      <c r="J14" s="181">
        <f>'Summary Sheet'!M41</f>
      </c>
      <c r="K14" s="181">
        <f>'Summary Sheet'!N41</f>
      </c>
      <c r="L14" s="181">
        <f>'Summary Sheet'!O41</f>
      </c>
      <c r="M14" s="181">
        <f>'Summary Sheet'!P41</f>
      </c>
      <c r="N14" s="181">
        <f>'Summary Sheet'!Q41</f>
      </c>
      <c r="O14" s="181">
        <f>'Summary Sheet'!R41</f>
      </c>
      <c r="P14" s="181">
        <f>'Summary Sheet'!S41</f>
      </c>
      <c r="Q14" s="193">
        <f>'Summary Sheet'!T41</f>
        <v>3</v>
      </c>
      <c r="R14" s="197">
        <f t="shared" si="0"/>
        <v>30</v>
      </c>
      <c r="S14" s="3"/>
      <c r="T14" s="3"/>
    </row>
  </sheetData>
  <sheetProtection/>
  <printOptions/>
  <pageMargins left="0.1968503937007874" right="0.2755905511811024" top="0.7480314960629921" bottom="0.7480314960629921" header="0.31496062992125984" footer="0.31496062992125984"/>
  <pageSetup fitToHeight="1" fitToWidth="1" horizontalDpi="600" verticalDpi="600" orientation="landscape" paperSize="8" scale="97" r:id="rId3"/>
  <legacyDrawing r:id="rId2"/>
</worksheet>
</file>

<file path=xl/worksheets/sheet4.xml><?xml version="1.0" encoding="utf-8"?>
<worksheet xmlns="http://schemas.openxmlformats.org/spreadsheetml/2006/main" xmlns:r="http://schemas.openxmlformats.org/officeDocument/2006/relationships">
  <sheetPr>
    <tabColor theme="9"/>
  </sheetPr>
  <dimension ref="A1:X153"/>
  <sheetViews>
    <sheetView view="pageBreakPreview" zoomScale="60" zoomScaleNormal="70" zoomScalePageLayoutView="0" workbookViewId="0" topLeftCell="A73">
      <selection activeCell="H9" sqref="H9"/>
    </sheetView>
  </sheetViews>
  <sheetFormatPr defaultColWidth="9.140625" defaultRowHeight="15"/>
  <cols>
    <col min="1" max="1" width="31.421875" style="0" customWidth="1"/>
    <col min="2" max="2" width="8.7109375" style="0" customWidth="1"/>
    <col min="3" max="3" width="13.140625" style="210" customWidth="1"/>
    <col min="4" max="4" width="15.28125" style="210" customWidth="1"/>
    <col min="5" max="5" width="16.421875" style="0" customWidth="1"/>
    <col min="7" max="7" width="10.8515625" style="0" customWidth="1"/>
    <col min="8" max="8" width="12.00390625" style="0" customWidth="1"/>
    <col min="9" max="9" width="13.7109375" style="0" customWidth="1"/>
    <col min="10" max="10" width="4.7109375" style="0" customWidth="1"/>
    <col min="11" max="11" width="95.00390625" style="0" bestFit="1" customWidth="1"/>
    <col min="12" max="12" width="11.00390625" style="0" customWidth="1"/>
    <col min="14" max="17" width="15.7109375" style="0" customWidth="1"/>
    <col min="18" max="19" width="13.140625" style="0" customWidth="1"/>
    <col min="20" max="20" width="15.7109375" style="0" customWidth="1"/>
    <col min="21" max="21" width="15.7109375" style="26" customWidth="1"/>
    <col min="22" max="22" width="15.7109375" style="0" customWidth="1"/>
    <col min="23" max="23" width="15.7109375" style="21" customWidth="1"/>
    <col min="24" max="24" width="17.140625" style="21" customWidth="1"/>
  </cols>
  <sheetData>
    <row r="1" spans="1:2" ht="15.75" thickBot="1">
      <c r="A1" s="6" t="s">
        <v>19</v>
      </c>
      <c r="B1" s="10"/>
    </row>
    <row r="2" spans="1:24" ht="75">
      <c r="A2" s="7" t="s">
        <v>39</v>
      </c>
      <c r="B2" s="10"/>
      <c r="N2" s="111"/>
      <c r="O2" s="106" t="s">
        <v>159</v>
      </c>
      <c r="P2" s="101" t="s">
        <v>160</v>
      </c>
      <c r="Q2" s="102" t="s">
        <v>161</v>
      </c>
      <c r="R2" s="102" t="s">
        <v>162</v>
      </c>
      <c r="S2" s="102" t="s">
        <v>163</v>
      </c>
      <c r="T2" s="102" t="s">
        <v>155</v>
      </c>
      <c r="U2" s="103" t="s">
        <v>164</v>
      </c>
      <c r="V2" s="102" t="s">
        <v>165</v>
      </c>
      <c r="W2" s="104" t="s">
        <v>167</v>
      </c>
      <c r="X2" s="105" t="s">
        <v>166</v>
      </c>
    </row>
    <row r="3" spans="1:24" ht="15">
      <c r="A3" s="6" t="s">
        <v>20</v>
      </c>
      <c r="B3" s="7">
        <v>260.5</v>
      </c>
      <c r="N3" s="140" t="s">
        <v>168</v>
      </c>
      <c r="O3" s="107">
        <f aca="true" t="shared" si="0" ref="O3:O9">P3/Q3</f>
        <v>6</v>
      </c>
      <c r="P3" s="98">
        <v>6</v>
      </c>
      <c r="Q3" s="98">
        <v>1</v>
      </c>
      <c r="R3" s="98">
        <f>B16</f>
        <v>1</v>
      </c>
      <c r="S3" s="98">
        <v>32</v>
      </c>
      <c r="T3" s="98">
        <v>0</v>
      </c>
      <c r="U3" s="99">
        <f aca="true" t="shared" si="1" ref="U3:U9">P3-T3</f>
        <v>6</v>
      </c>
      <c r="V3" s="100">
        <f aca="true" t="shared" si="2" ref="V3:V9">R3*S3</f>
        <v>32</v>
      </c>
      <c r="W3" s="134">
        <f aca="true" t="shared" si="3" ref="W3:W9">V3/P3</f>
        <v>5.333333333333333</v>
      </c>
      <c r="X3" s="135">
        <f aca="true" t="shared" si="4" ref="X3:X9">V3/U3</f>
        <v>5.333333333333333</v>
      </c>
    </row>
    <row r="4" spans="14:24" ht="15">
      <c r="N4" s="141"/>
      <c r="O4" s="108">
        <f t="shared" si="0"/>
        <v>6</v>
      </c>
      <c r="P4" s="94">
        <v>120</v>
      </c>
      <c r="Q4" s="94">
        <v>20</v>
      </c>
      <c r="R4" s="94">
        <f>B31</f>
        <v>20</v>
      </c>
      <c r="S4" s="94">
        <v>35</v>
      </c>
      <c r="T4" s="94">
        <v>0</v>
      </c>
      <c r="U4" s="95">
        <f t="shared" si="1"/>
        <v>120</v>
      </c>
      <c r="V4" s="96">
        <f t="shared" si="2"/>
        <v>700</v>
      </c>
      <c r="W4" s="136">
        <f t="shared" si="3"/>
        <v>5.833333333333333</v>
      </c>
      <c r="X4" s="137">
        <f t="shared" si="4"/>
        <v>5.833333333333333</v>
      </c>
    </row>
    <row r="5" spans="1:24" ht="15" customHeight="1">
      <c r="A5" s="28" t="s">
        <v>7</v>
      </c>
      <c r="B5" s="6" t="s">
        <v>17</v>
      </c>
      <c r="C5" s="211"/>
      <c r="D5" s="211"/>
      <c r="E5" s="10"/>
      <c r="G5" s="6" t="s">
        <v>21</v>
      </c>
      <c r="H5" s="6" t="s">
        <v>17</v>
      </c>
      <c r="I5" s="6" t="s">
        <v>18</v>
      </c>
      <c r="K5" s="20" t="str">
        <f>'Summary Sheet'!C6</f>
        <v>General Communal Area</v>
      </c>
      <c r="L5" s="182">
        <f>B3</f>
        <v>260.5</v>
      </c>
      <c r="N5" s="141"/>
      <c r="O5" s="108">
        <f t="shared" si="0"/>
        <v>6</v>
      </c>
      <c r="P5" s="94">
        <f>B38</f>
        <v>60</v>
      </c>
      <c r="Q5" s="94">
        <f>B36</f>
        <v>10</v>
      </c>
      <c r="R5" s="94">
        <f>B46</f>
        <v>10</v>
      </c>
      <c r="S5" s="94">
        <f>C46</f>
        <v>30.4</v>
      </c>
      <c r="T5" s="94">
        <v>10</v>
      </c>
      <c r="U5" s="95">
        <f t="shared" si="1"/>
        <v>50</v>
      </c>
      <c r="V5" s="96">
        <f t="shared" si="2"/>
        <v>304</v>
      </c>
      <c r="W5" s="136">
        <f t="shared" si="3"/>
        <v>5.066666666666666</v>
      </c>
      <c r="X5" s="137">
        <f t="shared" si="4"/>
        <v>6.08</v>
      </c>
    </row>
    <row r="6" spans="1:24" ht="15" customHeight="1">
      <c r="A6" s="8" t="s">
        <v>36</v>
      </c>
      <c r="B6" s="9">
        <v>1</v>
      </c>
      <c r="C6" s="211"/>
      <c r="D6" s="211"/>
      <c r="E6" s="10"/>
      <c r="G6" s="6" t="s">
        <v>22</v>
      </c>
      <c r="H6" s="11">
        <v>36</v>
      </c>
      <c r="I6" s="11">
        <v>36</v>
      </c>
      <c r="K6" s="20" t="str">
        <f>'Summary Sheet'!C7</f>
        <v>Kitchen / Dining / Living Area (Shared Internal Area)</v>
      </c>
      <c r="L6" s="182">
        <f>(B16*C16)+(B31*C31)+(B46*C46)+(B61*C61)+(B76*C76)+(B91*C91)+(B106*C106)</f>
        <v>2470.4</v>
      </c>
      <c r="N6" s="141"/>
      <c r="O6" s="108">
        <f t="shared" si="0"/>
        <v>4</v>
      </c>
      <c r="P6" s="94">
        <f>B53</f>
        <v>4</v>
      </c>
      <c r="Q6" s="94">
        <f>B51</f>
        <v>1</v>
      </c>
      <c r="R6" s="94">
        <f>B61</f>
        <v>1</v>
      </c>
      <c r="S6" s="94">
        <f>C46</f>
        <v>30.4</v>
      </c>
      <c r="T6" s="94">
        <v>0</v>
      </c>
      <c r="U6" s="95">
        <f t="shared" si="1"/>
        <v>4</v>
      </c>
      <c r="V6" s="96">
        <f t="shared" si="2"/>
        <v>30.4</v>
      </c>
      <c r="W6" s="136">
        <f t="shared" si="3"/>
        <v>7.6</v>
      </c>
      <c r="X6" s="137">
        <f t="shared" si="4"/>
        <v>7.6</v>
      </c>
    </row>
    <row r="7" spans="1:24" ht="30">
      <c r="A7" s="10"/>
      <c r="B7" s="6" t="s">
        <v>17</v>
      </c>
      <c r="C7" s="5" t="s">
        <v>190</v>
      </c>
      <c r="D7" s="5" t="s">
        <v>191</v>
      </c>
      <c r="E7" s="6" t="s">
        <v>34</v>
      </c>
      <c r="G7" s="6" t="s">
        <v>23</v>
      </c>
      <c r="H7" s="11"/>
      <c r="I7" s="11"/>
      <c r="K7" s="20" t="str">
        <f>'Summary Sheet'!C8</f>
        <v>Total Communal Area</v>
      </c>
      <c r="L7" s="185">
        <f>SUM(L5:L6)</f>
        <v>2730.9</v>
      </c>
      <c r="N7" s="141"/>
      <c r="O7" s="108">
        <f t="shared" si="0"/>
        <v>6</v>
      </c>
      <c r="P7" s="94">
        <f>B68</f>
        <v>6</v>
      </c>
      <c r="Q7" s="94">
        <f>B66</f>
        <v>1</v>
      </c>
      <c r="R7" s="94">
        <f>B76</f>
        <v>1</v>
      </c>
      <c r="S7" s="94">
        <f>C76</f>
        <v>25.4</v>
      </c>
      <c r="T7" s="94">
        <v>0</v>
      </c>
      <c r="U7" s="95">
        <f t="shared" si="1"/>
        <v>6</v>
      </c>
      <c r="V7" s="96">
        <f t="shared" si="2"/>
        <v>25.4</v>
      </c>
      <c r="W7" s="136">
        <f t="shared" si="3"/>
        <v>4.233333333333333</v>
      </c>
      <c r="X7" s="137">
        <f t="shared" si="4"/>
        <v>4.233333333333333</v>
      </c>
    </row>
    <row r="8" spans="1:24" ht="15">
      <c r="A8" s="6" t="s">
        <v>8</v>
      </c>
      <c r="B8" s="9">
        <v>6</v>
      </c>
      <c r="C8" s="212"/>
      <c r="D8" s="212"/>
      <c r="E8" s="9"/>
      <c r="G8" s="6" t="s">
        <v>24</v>
      </c>
      <c r="H8" s="11"/>
      <c r="I8" s="11"/>
      <c r="K8" s="20"/>
      <c r="L8" s="182"/>
      <c r="N8" s="141"/>
      <c r="O8" s="108">
        <f t="shared" si="0"/>
        <v>6</v>
      </c>
      <c r="P8" s="94">
        <f>B83</f>
        <v>216</v>
      </c>
      <c r="Q8" s="94">
        <f>B81</f>
        <v>36</v>
      </c>
      <c r="R8" s="94">
        <f>B91</f>
        <v>36</v>
      </c>
      <c r="S8" s="94">
        <f>C91</f>
        <v>26</v>
      </c>
      <c r="T8" s="94">
        <v>0</v>
      </c>
      <c r="U8" s="95">
        <f t="shared" si="1"/>
        <v>216</v>
      </c>
      <c r="V8" s="96">
        <f t="shared" si="2"/>
        <v>936</v>
      </c>
      <c r="W8" s="136">
        <f t="shared" si="3"/>
        <v>4.333333333333333</v>
      </c>
      <c r="X8" s="137">
        <f t="shared" si="4"/>
        <v>4.333333333333333</v>
      </c>
    </row>
    <row r="9" spans="1:24" ht="15">
      <c r="A9" s="6" t="s">
        <v>9</v>
      </c>
      <c r="B9" s="9">
        <v>6</v>
      </c>
      <c r="C9" s="212">
        <v>13.5</v>
      </c>
      <c r="D9" s="212"/>
      <c r="E9" s="9"/>
      <c r="G9" s="6" t="s">
        <v>25</v>
      </c>
      <c r="H9" s="11"/>
      <c r="I9" s="11"/>
      <c r="K9" s="20"/>
      <c r="L9" s="182"/>
      <c r="N9" s="141"/>
      <c r="O9" s="108">
        <f t="shared" si="0"/>
        <v>6</v>
      </c>
      <c r="P9" s="94">
        <f>B98</f>
        <v>96</v>
      </c>
      <c r="Q9" s="94">
        <f>B96</f>
        <v>16</v>
      </c>
      <c r="R9" s="94">
        <f>B106</f>
        <v>16</v>
      </c>
      <c r="S9" s="94">
        <f>C106</f>
        <v>28</v>
      </c>
      <c r="T9" s="94">
        <v>0</v>
      </c>
      <c r="U9" s="95">
        <f t="shared" si="1"/>
        <v>96</v>
      </c>
      <c r="V9" s="96">
        <f t="shared" si="2"/>
        <v>448</v>
      </c>
      <c r="W9" s="136">
        <f t="shared" si="3"/>
        <v>4.666666666666667</v>
      </c>
      <c r="X9" s="137">
        <f t="shared" si="4"/>
        <v>4.666666666666667</v>
      </c>
    </row>
    <row r="10" spans="1:24" ht="15">
      <c r="A10" s="6" t="s">
        <v>10</v>
      </c>
      <c r="B10" s="9"/>
      <c r="C10" s="212"/>
      <c r="D10" s="212"/>
      <c r="E10" s="9"/>
      <c r="G10" s="6" t="s">
        <v>26</v>
      </c>
      <c r="H10" s="11"/>
      <c r="I10" s="11"/>
      <c r="K10" s="20" t="str">
        <f>'Summary Sheet'!C10</f>
        <v>Number of Bedrooms (cluster &amp; studio) (non Accessible)</v>
      </c>
      <c r="L10" s="184">
        <f>B9+B24+B39+B40+B41+B54+B69+B84+B85+B99+B100+B101+H6</f>
        <v>534</v>
      </c>
      <c r="N10" s="141"/>
      <c r="O10" s="109"/>
      <c r="P10" s="94"/>
      <c r="Q10" s="94"/>
      <c r="R10" s="94"/>
      <c r="S10" s="94"/>
      <c r="T10" s="94"/>
      <c r="U10" s="95"/>
      <c r="V10" s="96"/>
      <c r="W10" s="136"/>
      <c r="X10" s="137"/>
    </row>
    <row r="11" spans="1:24" ht="15">
      <c r="A11" s="6" t="s">
        <v>11</v>
      </c>
      <c r="B11" s="9"/>
      <c r="C11" s="212"/>
      <c r="D11" s="212"/>
      <c r="E11" s="9"/>
      <c r="G11" s="6" t="s">
        <v>27</v>
      </c>
      <c r="H11" s="11"/>
      <c r="I11" s="11"/>
      <c r="K11" s="20" t="str">
        <f>'Summary Sheet'!C11</f>
        <v>Total Area of Bedrooms (cluster &amp; studio) (non Accessible)</v>
      </c>
      <c r="L11" s="182">
        <f>(B9*C9)+(B24*C24)+(B39*C39)+(B40*C40)+(B41*C41)+(B54*C54)+(B69*C69)+(B84*C84)+(B85*C85)+(B99*C99)+(B100*C100)+(B101*C101)+(H6*I6)</f>
        <v>8321.2</v>
      </c>
      <c r="N11" s="141"/>
      <c r="O11" s="109"/>
      <c r="P11" s="94"/>
      <c r="Q11" s="94"/>
      <c r="R11" s="94"/>
      <c r="S11" s="94"/>
      <c r="T11" s="94"/>
      <c r="U11" s="96"/>
      <c r="V11" s="96"/>
      <c r="W11" s="136"/>
      <c r="X11" s="137"/>
    </row>
    <row r="12" spans="1:24" ht="15">
      <c r="A12" s="6" t="s">
        <v>12</v>
      </c>
      <c r="B12" s="9"/>
      <c r="C12" s="212"/>
      <c r="D12" s="212"/>
      <c r="E12" s="9"/>
      <c r="G12" s="6" t="s">
        <v>28</v>
      </c>
      <c r="H12" s="11"/>
      <c r="I12" s="11"/>
      <c r="K12" s="20" t="str">
        <f>'Summary Sheet'!C12</f>
        <v>Average size of Bedroom (cluster &amp; studio) (non Accessible)</v>
      </c>
      <c r="L12" s="185">
        <f>L11/L10</f>
        <v>15.582771535580525</v>
      </c>
      <c r="N12" s="141"/>
      <c r="O12" s="109"/>
      <c r="P12" s="94"/>
      <c r="Q12" s="94"/>
      <c r="R12" s="94"/>
      <c r="S12" s="94"/>
      <c r="T12" s="94"/>
      <c r="U12" s="95"/>
      <c r="V12" s="96"/>
      <c r="W12" s="136"/>
      <c r="X12" s="137"/>
    </row>
    <row r="13" spans="1:24" ht="15">
      <c r="A13" s="6" t="s">
        <v>13</v>
      </c>
      <c r="B13" s="9"/>
      <c r="C13" s="212"/>
      <c r="D13" s="212"/>
      <c r="E13" s="9"/>
      <c r="G13" s="6" t="s">
        <v>29</v>
      </c>
      <c r="H13" s="11"/>
      <c r="I13" s="11"/>
      <c r="K13" s="20"/>
      <c r="L13" s="185"/>
      <c r="N13" s="141"/>
      <c r="O13" s="109"/>
      <c r="P13" s="94"/>
      <c r="Q13" s="94"/>
      <c r="R13" s="94"/>
      <c r="S13" s="94"/>
      <c r="T13" s="94"/>
      <c r="U13" s="95"/>
      <c r="V13" s="96"/>
      <c r="W13" s="136"/>
      <c r="X13" s="137"/>
    </row>
    <row r="14" spans="1:24" ht="15">
      <c r="A14" s="6" t="s">
        <v>14</v>
      </c>
      <c r="B14" s="9"/>
      <c r="C14" s="212"/>
      <c r="D14" s="212"/>
      <c r="E14" s="9"/>
      <c r="G14" s="6" t="s">
        <v>30</v>
      </c>
      <c r="H14" s="11"/>
      <c r="I14" s="11"/>
      <c r="K14" s="20" t="str">
        <f>'Summary Sheet'!C14</f>
        <v>Number of Cluster Bedrooms (non Accessible)</v>
      </c>
      <c r="L14" s="186">
        <f>B9+B24+B39+B40+B41+B54+B69+B84+B85+B99+B100+B101</f>
        <v>498</v>
      </c>
      <c r="N14" s="141"/>
      <c r="O14" s="109"/>
      <c r="P14" s="94"/>
      <c r="Q14" s="94"/>
      <c r="R14" s="94"/>
      <c r="S14" s="94"/>
      <c r="T14" s="94"/>
      <c r="U14" s="95"/>
      <c r="V14" s="96"/>
      <c r="W14" s="136"/>
      <c r="X14" s="137"/>
    </row>
    <row r="15" spans="1:24" ht="15">
      <c r="A15" s="10"/>
      <c r="B15" s="6" t="s">
        <v>17</v>
      </c>
      <c r="C15" s="5" t="s">
        <v>18</v>
      </c>
      <c r="D15" s="211"/>
      <c r="E15" s="10"/>
      <c r="G15" s="6" t="s">
        <v>31</v>
      </c>
      <c r="H15" s="11"/>
      <c r="I15" s="11"/>
      <c r="K15" s="20" t="str">
        <f>'Summary Sheet'!C15</f>
        <v>Total Area of Cluster Bedrooms (non Accessible)</v>
      </c>
      <c r="L15" s="6">
        <f>(B9*C9)+(B24*C24)+(B39*C39)+(B40*C40)+(B41*C41)+(B54*C54)+(B69*C69)+(B84*C84)+(B85*C85)+(B99*C99)+(B100*C100)+(B101*C101)</f>
        <v>7025.2</v>
      </c>
      <c r="N15" s="141"/>
      <c r="O15" s="109"/>
      <c r="P15" s="94"/>
      <c r="Q15" s="94"/>
      <c r="R15" s="94"/>
      <c r="S15" s="94"/>
      <c r="T15" s="94"/>
      <c r="U15" s="95"/>
      <c r="V15" s="96"/>
      <c r="W15" s="136"/>
      <c r="X15" s="137"/>
    </row>
    <row r="16" spans="1:24" ht="15">
      <c r="A16" s="6" t="s">
        <v>16</v>
      </c>
      <c r="B16" s="9">
        <v>1</v>
      </c>
      <c r="C16" s="215">
        <v>32</v>
      </c>
      <c r="D16" s="211"/>
      <c r="E16" s="10"/>
      <c r="G16" s="6" t="s">
        <v>32</v>
      </c>
      <c r="H16" s="11"/>
      <c r="I16" s="11"/>
      <c r="K16" s="20" t="str">
        <f>'Summary Sheet'!C16</f>
        <v>Average Size of Cluster Bedroom (non Accessible)</v>
      </c>
      <c r="L16" s="187">
        <f>L15/L14</f>
        <v>14.106827309236948</v>
      </c>
      <c r="N16" s="141"/>
      <c r="O16" s="109"/>
      <c r="P16" s="94"/>
      <c r="Q16" s="94"/>
      <c r="R16" s="94"/>
      <c r="S16" s="94"/>
      <c r="T16" s="94"/>
      <c r="U16" s="95"/>
      <c r="V16" s="96"/>
      <c r="W16" s="136"/>
      <c r="X16" s="137"/>
    </row>
    <row r="17" spans="1:24" ht="15">
      <c r="A17" s="6" t="s">
        <v>15</v>
      </c>
      <c r="B17" s="9"/>
      <c r="C17" s="212"/>
      <c r="D17" s="211"/>
      <c r="E17" s="10"/>
      <c r="G17" s="6" t="s">
        <v>33</v>
      </c>
      <c r="H17" s="11"/>
      <c r="I17" s="11"/>
      <c r="K17" s="20"/>
      <c r="L17" s="188"/>
      <c r="N17" s="141"/>
      <c r="O17" s="109"/>
      <c r="P17" s="94"/>
      <c r="Q17" s="94"/>
      <c r="R17" s="94"/>
      <c r="S17" s="94"/>
      <c r="T17" s="94"/>
      <c r="U17" s="95"/>
      <c r="V17" s="96"/>
      <c r="W17" s="136"/>
      <c r="X17" s="137"/>
    </row>
    <row r="18" spans="11:24" ht="15">
      <c r="K18" s="20" t="str">
        <f>'Summary Sheet'!C18</f>
        <v>Number of Studio Bedspaces (non Accessible)</v>
      </c>
      <c r="L18" s="186">
        <f>H6</f>
        <v>36</v>
      </c>
      <c r="N18" s="141"/>
      <c r="O18" s="109"/>
      <c r="P18" s="94"/>
      <c r="Q18" s="94"/>
      <c r="R18" s="94"/>
      <c r="S18" s="94"/>
      <c r="T18" s="94"/>
      <c r="U18" s="95"/>
      <c r="V18" s="96"/>
      <c r="W18" s="136"/>
      <c r="X18" s="137"/>
    </row>
    <row r="19" spans="11:24" ht="15">
      <c r="K19" s="20" t="str">
        <f>'Summary Sheet'!C19</f>
        <v>Total Area of Studio Bedspace (non Accessible)</v>
      </c>
      <c r="L19" s="186">
        <f>H6*I6</f>
        <v>1296</v>
      </c>
      <c r="N19" s="141"/>
      <c r="O19" s="109"/>
      <c r="P19" s="94"/>
      <c r="Q19" s="94"/>
      <c r="R19" s="94"/>
      <c r="S19" s="94"/>
      <c r="T19" s="94"/>
      <c r="U19" s="95"/>
      <c r="V19" s="96"/>
      <c r="W19" s="136"/>
      <c r="X19" s="137"/>
    </row>
    <row r="20" spans="1:24" ht="15">
      <c r="A20" s="28" t="s">
        <v>7</v>
      </c>
      <c r="B20" s="6" t="s">
        <v>17</v>
      </c>
      <c r="C20" s="211"/>
      <c r="D20" s="211"/>
      <c r="E20" s="10"/>
      <c r="K20" s="20" t="str">
        <f>'Summary Sheet'!C20</f>
        <v>Average Size of Studio Bedspaces (non Accessible)</v>
      </c>
      <c r="L20" s="189">
        <f>L19/L18</f>
        <v>36</v>
      </c>
      <c r="N20" s="141"/>
      <c r="O20" s="109"/>
      <c r="P20" s="94"/>
      <c r="Q20" s="94"/>
      <c r="R20" s="94"/>
      <c r="S20" s="94"/>
      <c r="T20" s="94"/>
      <c r="U20" s="95"/>
      <c r="V20" s="96"/>
      <c r="W20" s="136"/>
      <c r="X20" s="137"/>
    </row>
    <row r="21" spans="1:24" ht="15">
      <c r="A21" s="8" t="s">
        <v>40</v>
      </c>
      <c r="B21" s="9">
        <v>20</v>
      </c>
      <c r="C21" s="211"/>
      <c r="D21" s="211"/>
      <c r="E21" s="10"/>
      <c r="K21" s="20"/>
      <c r="L21" s="182"/>
      <c r="N21" s="141"/>
      <c r="O21" s="109"/>
      <c r="P21" s="94"/>
      <c r="Q21" s="94"/>
      <c r="R21" s="94"/>
      <c r="S21" s="94"/>
      <c r="T21" s="94"/>
      <c r="U21" s="95"/>
      <c r="V21" s="96"/>
      <c r="W21" s="136"/>
      <c r="X21" s="137"/>
    </row>
    <row r="22" spans="1:24" ht="30">
      <c r="A22" s="10"/>
      <c r="B22" s="6" t="s">
        <v>17</v>
      </c>
      <c r="C22" s="5" t="s">
        <v>190</v>
      </c>
      <c r="D22" s="5" t="s">
        <v>191</v>
      </c>
      <c r="E22" s="6" t="s">
        <v>34</v>
      </c>
      <c r="K22" s="6" t="str">
        <f>'Summary Sheet'!C24</f>
        <v>Total Number of Bedrooms Inc Accessible</v>
      </c>
      <c r="L22" s="182">
        <f>L10+B42</f>
        <v>544</v>
      </c>
      <c r="N22" s="141"/>
      <c r="O22" s="109"/>
      <c r="P22" s="94"/>
      <c r="Q22" s="94"/>
      <c r="R22" s="94"/>
      <c r="S22" s="94"/>
      <c r="T22" s="94"/>
      <c r="U22" s="95"/>
      <c r="V22" s="96"/>
      <c r="W22" s="136"/>
      <c r="X22" s="137"/>
    </row>
    <row r="23" spans="1:24" ht="15">
      <c r="A23" s="6" t="s">
        <v>8</v>
      </c>
      <c r="B23" s="9">
        <v>120</v>
      </c>
      <c r="C23" s="212"/>
      <c r="D23" s="212"/>
      <c r="E23" s="9"/>
      <c r="K23" s="6" t="str">
        <f>'Summary Sheet'!C26</f>
        <v>Number of Accessible Bedrooms</v>
      </c>
      <c r="L23" s="184">
        <f>L22-L10</f>
        <v>10</v>
      </c>
      <c r="N23" s="141"/>
      <c r="O23" s="109"/>
      <c r="P23" s="94"/>
      <c r="Q23" s="94"/>
      <c r="R23" s="94"/>
      <c r="S23" s="94"/>
      <c r="T23" s="94"/>
      <c r="U23" s="95"/>
      <c r="V23" s="96"/>
      <c r="W23" s="136"/>
      <c r="X23" s="137"/>
    </row>
    <row r="24" spans="1:24" ht="15">
      <c r="A24" s="6" t="s">
        <v>9</v>
      </c>
      <c r="B24" s="9">
        <v>120</v>
      </c>
      <c r="C24" s="212">
        <v>13.5</v>
      </c>
      <c r="D24" s="212"/>
      <c r="E24" s="9"/>
      <c r="K24" s="6" t="str">
        <f>'Summary Sheet'!C27</f>
        <v>Average Size of Accessible Bedroom</v>
      </c>
      <c r="L24" s="190">
        <f>(B42*C42)/L23</f>
        <v>20.2</v>
      </c>
      <c r="N24" s="141"/>
      <c r="O24" s="109"/>
      <c r="P24" s="94"/>
      <c r="Q24" s="94"/>
      <c r="R24" s="94"/>
      <c r="S24" s="94"/>
      <c r="T24" s="94"/>
      <c r="U24" s="95"/>
      <c r="V24" s="96"/>
      <c r="W24" s="136"/>
      <c r="X24" s="137"/>
    </row>
    <row r="25" spans="1:24" ht="15">
      <c r="A25" s="6" t="s">
        <v>10</v>
      </c>
      <c r="B25" s="9"/>
      <c r="C25" s="212"/>
      <c r="D25" s="212"/>
      <c r="E25" s="9"/>
      <c r="N25" s="141"/>
      <c r="O25" s="109"/>
      <c r="P25" s="94"/>
      <c r="Q25" s="94"/>
      <c r="R25" s="94"/>
      <c r="S25" s="94"/>
      <c r="T25" s="94"/>
      <c r="U25" s="95"/>
      <c r="V25" s="96"/>
      <c r="W25" s="136"/>
      <c r="X25" s="137"/>
    </row>
    <row r="26" spans="1:24" ht="15">
      <c r="A26" s="6" t="s">
        <v>11</v>
      </c>
      <c r="B26" s="9"/>
      <c r="C26" s="212"/>
      <c r="D26" s="212"/>
      <c r="E26" s="9"/>
      <c r="K26" s="12"/>
      <c r="L26" s="12"/>
      <c r="N26" s="141"/>
      <c r="O26" s="109"/>
      <c r="P26" s="94"/>
      <c r="Q26" s="94"/>
      <c r="R26" s="94"/>
      <c r="S26" s="94"/>
      <c r="T26" s="94"/>
      <c r="U26" s="95"/>
      <c r="V26" s="96"/>
      <c r="W26" s="136"/>
      <c r="X26" s="137"/>
    </row>
    <row r="27" spans="1:24" ht="15">
      <c r="A27" s="6" t="s">
        <v>12</v>
      </c>
      <c r="B27" s="9"/>
      <c r="C27" s="212"/>
      <c r="D27" s="212"/>
      <c r="E27" s="9"/>
      <c r="N27" s="141"/>
      <c r="O27" s="109"/>
      <c r="P27" s="94"/>
      <c r="Q27" s="94"/>
      <c r="R27" s="94"/>
      <c r="S27" s="94"/>
      <c r="T27" s="94"/>
      <c r="U27" s="95"/>
      <c r="V27" s="96"/>
      <c r="W27" s="136"/>
      <c r="X27" s="137"/>
    </row>
    <row r="28" spans="1:24" ht="15">
      <c r="A28" s="6" t="s">
        <v>13</v>
      </c>
      <c r="B28" s="9"/>
      <c r="C28" s="212"/>
      <c r="D28" s="212"/>
      <c r="E28" s="9"/>
      <c r="N28" s="141"/>
      <c r="O28" s="109"/>
      <c r="P28" s="94"/>
      <c r="Q28" s="94"/>
      <c r="R28" s="94"/>
      <c r="S28" s="94"/>
      <c r="T28" s="94"/>
      <c r="U28" s="95"/>
      <c r="V28" s="96"/>
      <c r="W28" s="136"/>
      <c r="X28" s="137"/>
    </row>
    <row r="29" spans="1:24" ht="15">
      <c r="A29" s="6" t="s">
        <v>14</v>
      </c>
      <c r="B29" s="9"/>
      <c r="C29" s="212"/>
      <c r="D29" s="212"/>
      <c r="E29" s="9"/>
      <c r="N29" s="141"/>
      <c r="O29" s="109"/>
      <c r="P29" s="94"/>
      <c r="Q29" s="94"/>
      <c r="R29" s="94"/>
      <c r="S29" s="94"/>
      <c r="T29" s="94"/>
      <c r="U29" s="95"/>
      <c r="V29" s="96"/>
      <c r="W29" s="136"/>
      <c r="X29" s="137"/>
    </row>
    <row r="30" spans="1:24" ht="15">
      <c r="A30" s="10"/>
      <c r="B30" s="6" t="s">
        <v>17</v>
      </c>
      <c r="C30" s="5" t="s">
        <v>18</v>
      </c>
      <c r="D30" s="211"/>
      <c r="E30" s="10"/>
      <c r="N30" s="141"/>
      <c r="O30" s="109"/>
      <c r="P30" s="94"/>
      <c r="Q30" s="94"/>
      <c r="R30" s="94"/>
      <c r="S30" s="94"/>
      <c r="T30" s="94"/>
      <c r="U30" s="95"/>
      <c r="V30" s="96"/>
      <c r="W30" s="136"/>
      <c r="X30" s="137"/>
    </row>
    <row r="31" spans="1:24" ht="15">
      <c r="A31" s="6" t="s">
        <v>16</v>
      </c>
      <c r="B31" s="14">
        <v>20</v>
      </c>
      <c r="C31" s="212">
        <v>35</v>
      </c>
      <c r="D31" s="211"/>
      <c r="E31" s="10"/>
      <c r="N31" s="141"/>
      <c r="O31" s="109"/>
      <c r="P31" s="94"/>
      <c r="Q31" s="94"/>
      <c r="R31" s="94"/>
      <c r="S31" s="94"/>
      <c r="T31" s="94"/>
      <c r="U31" s="95"/>
      <c r="V31" s="96"/>
      <c r="W31" s="136"/>
      <c r="X31" s="137"/>
    </row>
    <row r="32" spans="1:24" ht="15">
      <c r="A32" s="6" t="s">
        <v>15</v>
      </c>
      <c r="B32" s="9"/>
      <c r="C32" s="212"/>
      <c r="D32" s="211"/>
      <c r="E32" s="10"/>
      <c r="N32" s="141"/>
      <c r="O32" s="109"/>
      <c r="P32" s="94"/>
      <c r="Q32" s="94"/>
      <c r="R32" s="94"/>
      <c r="S32" s="94"/>
      <c r="T32" s="94"/>
      <c r="U32" s="95"/>
      <c r="V32" s="96"/>
      <c r="W32" s="136"/>
      <c r="X32" s="137"/>
    </row>
    <row r="33" spans="14:24" ht="15">
      <c r="N33" s="141"/>
      <c r="O33" s="109"/>
      <c r="P33" s="94"/>
      <c r="Q33" s="94"/>
      <c r="R33" s="94"/>
      <c r="S33" s="94"/>
      <c r="T33" s="94"/>
      <c r="U33" s="95"/>
      <c r="V33" s="96"/>
      <c r="W33" s="136"/>
      <c r="X33" s="137"/>
    </row>
    <row r="34" spans="14:24" ht="15">
      <c r="N34" s="141"/>
      <c r="O34" s="109"/>
      <c r="P34" s="94"/>
      <c r="Q34" s="94"/>
      <c r="R34" s="94"/>
      <c r="S34" s="94"/>
      <c r="T34" s="94"/>
      <c r="U34" s="95"/>
      <c r="V34" s="96"/>
      <c r="W34" s="136"/>
      <c r="X34" s="137"/>
    </row>
    <row r="35" spans="1:24" ht="15.75" thickBot="1">
      <c r="A35" s="28" t="s">
        <v>7</v>
      </c>
      <c r="B35" s="6" t="s">
        <v>17</v>
      </c>
      <c r="C35" s="211"/>
      <c r="D35" s="211"/>
      <c r="E35" s="10"/>
      <c r="N35" s="144"/>
      <c r="O35" s="110"/>
      <c r="P35" s="97"/>
      <c r="Q35" s="97"/>
      <c r="R35" s="97"/>
      <c r="S35" s="97"/>
      <c r="T35" s="97"/>
      <c r="U35" s="116"/>
      <c r="V35" s="117"/>
      <c r="W35" s="138"/>
      <c r="X35" s="139"/>
    </row>
    <row r="36" spans="1:5" ht="15.75" thickBot="1">
      <c r="A36" s="8" t="s">
        <v>37</v>
      </c>
      <c r="B36" s="9">
        <v>10</v>
      </c>
      <c r="C36" s="211"/>
      <c r="D36" s="211"/>
      <c r="E36" s="10"/>
    </row>
    <row r="37" spans="1:24" ht="30">
      <c r="A37" s="10"/>
      <c r="B37" s="6" t="s">
        <v>17</v>
      </c>
      <c r="C37" s="5" t="s">
        <v>190</v>
      </c>
      <c r="D37" s="5" t="s">
        <v>191</v>
      </c>
      <c r="E37" s="6" t="s">
        <v>34</v>
      </c>
      <c r="N37" s="131">
        <f>'Summary Sheet'!D34</f>
        <v>3</v>
      </c>
      <c r="O37" s="153"/>
      <c r="P37" s="145">
        <f>SUMIF($O$3:$O$35,$N37,P$3:P$35)</f>
        <v>0</v>
      </c>
      <c r="Q37" s="145">
        <f>SUMIF($O$3:$O$35,$N37,Q$3:Q$35)</f>
        <v>0</v>
      </c>
      <c r="R37" s="145">
        <f aca="true" t="shared" si="5" ref="R37:V44">SUMIF($O$3:$O$35,$N37,R$3:R$35)</f>
        <v>0</v>
      </c>
      <c r="S37" s="145">
        <f t="shared" si="5"/>
        <v>0</v>
      </c>
      <c r="T37" s="145">
        <f t="shared" si="5"/>
        <v>0</v>
      </c>
      <c r="U37" s="145">
        <f t="shared" si="5"/>
        <v>0</v>
      </c>
      <c r="V37" s="146">
        <f t="shared" si="5"/>
        <v>0</v>
      </c>
      <c r="W37" s="147">
        <f>_xlfn.IFERROR(V37/P37,"")</f>
      </c>
      <c r="X37" s="148">
        <f>_xlfn.IFERROR(V37/U37,"")</f>
      </c>
    </row>
    <row r="38" spans="1:24" ht="15">
      <c r="A38" s="6" t="s">
        <v>8</v>
      </c>
      <c r="B38" s="9">
        <v>60</v>
      </c>
      <c r="C38" s="212"/>
      <c r="D38" s="212"/>
      <c r="E38" s="9"/>
      <c r="N38" s="132">
        <f>'Summary Sheet'!D35</f>
        <v>4</v>
      </c>
      <c r="O38" s="154"/>
      <c r="P38" s="96">
        <f>SUMIF($O$3:O36,N38,$P$3:$P$35)</f>
        <v>4</v>
      </c>
      <c r="Q38" s="96">
        <f aca="true" t="shared" si="6" ref="Q38:Q44">SUMIF($O$3:$O$35,$N38,Q$3:Q$35)</f>
        <v>1</v>
      </c>
      <c r="R38" s="96">
        <f t="shared" si="5"/>
        <v>1</v>
      </c>
      <c r="S38" s="96">
        <f t="shared" si="5"/>
        <v>30.4</v>
      </c>
      <c r="T38" s="96">
        <f t="shared" si="5"/>
        <v>0</v>
      </c>
      <c r="U38" s="96">
        <f t="shared" si="5"/>
        <v>4</v>
      </c>
      <c r="V38" s="149">
        <f t="shared" si="5"/>
        <v>30.4</v>
      </c>
      <c r="W38" s="150">
        <f aca="true" t="shared" si="7" ref="W38:W44">_xlfn.IFERROR(V38/P38,"")</f>
        <v>7.6</v>
      </c>
      <c r="X38" s="137">
        <f aca="true" t="shared" si="8" ref="X38:X44">_xlfn.IFERROR(V38/U38,"")</f>
        <v>7.6</v>
      </c>
    </row>
    <row r="39" spans="1:24" ht="15">
      <c r="A39" s="6" t="s">
        <v>9</v>
      </c>
      <c r="B39" s="9">
        <v>20</v>
      </c>
      <c r="C39" s="212">
        <v>13.5</v>
      </c>
      <c r="D39" s="212"/>
      <c r="E39" s="9"/>
      <c r="N39" s="132">
        <f>'Summary Sheet'!D36</f>
        <v>5</v>
      </c>
      <c r="O39" s="154"/>
      <c r="P39" s="96">
        <f>SUMIF($O$3:O37,N39,$P$3:$P$35)</f>
        <v>0</v>
      </c>
      <c r="Q39" s="96">
        <f t="shared" si="6"/>
        <v>0</v>
      </c>
      <c r="R39" s="96">
        <f t="shared" si="5"/>
        <v>0</v>
      </c>
      <c r="S39" s="96">
        <f t="shared" si="5"/>
        <v>0</v>
      </c>
      <c r="T39" s="96">
        <f t="shared" si="5"/>
        <v>0</v>
      </c>
      <c r="U39" s="96">
        <f t="shared" si="5"/>
        <v>0</v>
      </c>
      <c r="V39" s="149">
        <f t="shared" si="5"/>
        <v>0</v>
      </c>
      <c r="W39" s="150">
        <f t="shared" si="7"/>
      </c>
      <c r="X39" s="137">
        <f t="shared" si="8"/>
      </c>
    </row>
    <row r="40" spans="1:24" ht="15">
      <c r="A40" s="6" t="s">
        <v>10</v>
      </c>
      <c r="B40" s="9">
        <v>20</v>
      </c>
      <c r="C40" s="212">
        <v>14.4</v>
      </c>
      <c r="D40" s="212"/>
      <c r="E40" s="9"/>
      <c r="N40" s="132">
        <f>'Summary Sheet'!D37</f>
        <v>6</v>
      </c>
      <c r="O40" s="154"/>
      <c r="P40" s="96">
        <f>SUMIF($O$3:O38,N40,$P$3:$P$35)</f>
        <v>504</v>
      </c>
      <c r="Q40" s="96">
        <f t="shared" si="6"/>
        <v>84</v>
      </c>
      <c r="R40" s="96">
        <f t="shared" si="5"/>
        <v>84</v>
      </c>
      <c r="S40" s="96">
        <f t="shared" si="5"/>
        <v>176.8</v>
      </c>
      <c r="T40" s="96">
        <f t="shared" si="5"/>
        <v>10</v>
      </c>
      <c r="U40" s="96">
        <f t="shared" si="5"/>
        <v>494</v>
      </c>
      <c r="V40" s="149">
        <f t="shared" si="5"/>
        <v>2445.4</v>
      </c>
      <c r="W40" s="150">
        <f t="shared" si="7"/>
        <v>4.851984126984127</v>
      </c>
      <c r="X40" s="137">
        <f t="shared" si="8"/>
        <v>4.9502024291497975</v>
      </c>
    </row>
    <row r="41" spans="1:24" ht="15">
      <c r="A41" s="6" t="s">
        <v>11</v>
      </c>
      <c r="B41" s="9">
        <v>10</v>
      </c>
      <c r="C41" s="212">
        <v>14.8</v>
      </c>
      <c r="D41" s="212"/>
      <c r="E41" s="9"/>
      <c r="N41" s="132">
        <f>'Summary Sheet'!D38</f>
        <v>7</v>
      </c>
      <c r="O41" s="154"/>
      <c r="P41" s="96">
        <f>SUMIF($O$3:O39,N41,$P$3:$P$35)</f>
        <v>0</v>
      </c>
      <c r="Q41" s="96">
        <f t="shared" si="6"/>
        <v>0</v>
      </c>
      <c r="R41" s="96">
        <f t="shared" si="5"/>
        <v>0</v>
      </c>
      <c r="S41" s="96">
        <f t="shared" si="5"/>
        <v>0</v>
      </c>
      <c r="T41" s="96">
        <f t="shared" si="5"/>
        <v>0</v>
      </c>
      <c r="U41" s="96">
        <f t="shared" si="5"/>
        <v>0</v>
      </c>
      <c r="V41" s="149">
        <f t="shared" si="5"/>
        <v>0</v>
      </c>
      <c r="W41" s="150">
        <f t="shared" si="7"/>
      </c>
      <c r="X41" s="137">
        <f t="shared" si="8"/>
      </c>
    </row>
    <row r="42" spans="1:24" ht="15">
      <c r="A42" s="6" t="s">
        <v>12</v>
      </c>
      <c r="B42" s="9">
        <v>10</v>
      </c>
      <c r="C42" s="212">
        <v>20.2</v>
      </c>
      <c r="D42" s="212"/>
      <c r="E42" s="9" t="s">
        <v>35</v>
      </c>
      <c r="N42" s="132">
        <f>'Summary Sheet'!D39</f>
        <v>8</v>
      </c>
      <c r="O42" s="154"/>
      <c r="P42" s="96">
        <f>SUMIF($O$3:O40,N42,$P$3:$P$35)</f>
        <v>0</v>
      </c>
      <c r="Q42" s="96">
        <f t="shared" si="6"/>
        <v>0</v>
      </c>
      <c r="R42" s="96">
        <f t="shared" si="5"/>
        <v>0</v>
      </c>
      <c r="S42" s="96">
        <f t="shared" si="5"/>
        <v>0</v>
      </c>
      <c r="T42" s="96">
        <f t="shared" si="5"/>
        <v>0</v>
      </c>
      <c r="U42" s="96">
        <f t="shared" si="5"/>
        <v>0</v>
      </c>
      <c r="V42" s="149">
        <f t="shared" si="5"/>
        <v>0</v>
      </c>
      <c r="W42" s="150">
        <f t="shared" si="7"/>
      </c>
      <c r="X42" s="137">
        <f t="shared" si="8"/>
      </c>
    </row>
    <row r="43" spans="1:24" ht="15">
      <c r="A43" s="6" t="s">
        <v>13</v>
      </c>
      <c r="B43" s="9"/>
      <c r="C43" s="212"/>
      <c r="D43" s="212"/>
      <c r="E43" s="9"/>
      <c r="N43" s="132">
        <f>'Summary Sheet'!D40</f>
        <v>9</v>
      </c>
      <c r="O43" s="154"/>
      <c r="P43" s="96">
        <f>SUMIF($O$3:O41,N43,$P$3:$P$35)</f>
        <v>0</v>
      </c>
      <c r="Q43" s="96">
        <f t="shared" si="6"/>
        <v>0</v>
      </c>
      <c r="R43" s="96">
        <f t="shared" si="5"/>
        <v>0</v>
      </c>
      <c r="S43" s="96">
        <f t="shared" si="5"/>
        <v>0</v>
      </c>
      <c r="T43" s="96">
        <f t="shared" si="5"/>
        <v>0</v>
      </c>
      <c r="U43" s="96">
        <f t="shared" si="5"/>
        <v>0</v>
      </c>
      <c r="V43" s="149">
        <f t="shared" si="5"/>
        <v>0</v>
      </c>
      <c r="W43" s="150">
        <f t="shared" si="7"/>
      </c>
      <c r="X43" s="137">
        <f t="shared" si="8"/>
      </c>
    </row>
    <row r="44" spans="1:24" ht="15.75" thickBot="1">
      <c r="A44" s="6" t="s">
        <v>14</v>
      </c>
      <c r="B44" s="9"/>
      <c r="C44" s="212"/>
      <c r="D44" s="212"/>
      <c r="E44" s="9"/>
      <c r="N44" s="133">
        <f>'Summary Sheet'!D41</f>
        <v>10</v>
      </c>
      <c r="O44" s="155"/>
      <c r="P44" s="117">
        <f>SUMIF($O$3:O42,N44,$P$3:$P$35)</f>
        <v>0</v>
      </c>
      <c r="Q44" s="117">
        <f t="shared" si="6"/>
        <v>0</v>
      </c>
      <c r="R44" s="117">
        <f t="shared" si="5"/>
        <v>0</v>
      </c>
      <c r="S44" s="117">
        <f t="shared" si="5"/>
        <v>0</v>
      </c>
      <c r="T44" s="117">
        <f t="shared" si="5"/>
        <v>0</v>
      </c>
      <c r="U44" s="117">
        <f t="shared" si="5"/>
        <v>0</v>
      </c>
      <c r="V44" s="151">
        <f t="shared" si="5"/>
        <v>0</v>
      </c>
      <c r="W44" s="152">
        <f t="shared" si="7"/>
      </c>
      <c r="X44" s="139">
        <f t="shared" si="8"/>
      </c>
    </row>
    <row r="45" spans="1:5" ht="15">
      <c r="A45" s="10"/>
      <c r="B45" s="6" t="s">
        <v>17</v>
      </c>
      <c r="C45" s="5" t="s">
        <v>18</v>
      </c>
      <c r="D45" s="211"/>
      <c r="E45" s="10"/>
    </row>
    <row r="46" spans="1:24" ht="15">
      <c r="A46" s="6" t="s">
        <v>16</v>
      </c>
      <c r="B46" s="9">
        <v>10</v>
      </c>
      <c r="C46" s="212">
        <v>30.4</v>
      </c>
      <c r="D46" s="211"/>
      <c r="E46" s="10"/>
      <c r="X46" s="21">
        <f>_xlfn.IFERROR(V46/T46,"")</f>
      </c>
    </row>
    <row r="47" spans="1:24" ht="15">
      <c r="A47" s="6" t="s">
        <v>15</v>
      </c>
      <c r="B47" s="9"/>
      <c r="C47" s="212"/>
      <c r="D47" s="211"/>
      <c r="E47" s="10"/>
      <c r="X47" s="21">
        <f aca="true" t="shared" si="9" ref="X47:X53">_xlfn.IFERROR(V47/T47,"")</f>
      </c>
    </row>
    <row r="48" ht="15">
      <c r="X48" s="21">
        <f t="shared" si="9"/>
      </c>
    </row>
    <row r="49" ht="15">
      <c r="X49" s="21">
        <f t="shared" si="9"/>
      </c>
    </row>
    <row r="50" spans="1:24" ht="15">
      <c r="A50" s="28" t="s">
        <v>7</v>
      </c>
      <c r="B50" s="6" t="s">
        <v>17</v>
      </c>
      <c r="C50" s="211"/>
      <c r="D50" s="211"/>
      <c r="E50" s="10"/>
      <c r="G50" s="15"/>
      <c r="H50" s="3"/>
      <c r="I50" s="3"/>
      <c r="X50" s="21">
        <f t="shared" si="9"/>
      </c>
    </row>
    <row r="51" spans="1:24" ht="15">
      <c r="A51" s="8" t="s">
        <v>41</v>
      </c>
      <c r="B51" s="9">
        <v>1</v>
      </c>
      <c r="C51" s="211"/>
      <c r="D51" s="211"/>
      <c r="E51" s="10"/>
      <c r="G51" s="3"/>
      <c r="H51" s="3"/>
      <c r="I51" s="3"/>
      <c r="X51" s="21">
        <f t="shared" si="9"/>
      </c>
    </row>
    <row r="52" spans="1:24" ht="30">
      <c r="A52" s="10"/>
      <c r="B52" s="6" t="s">
        <v>17</v>
      </c>
      <c r="C52" s="5" t="s">
        <v>190</v>
      </c>
      <c r="D52" s="5" t="s">
        <v>191</v>
      </c>
      <c r="E52" s="6" t="s">
        <v>34</v>
      </c>
      <c r="G52" s="15"/>
      <c r="H52" s="3"/>
      <c r="I52" s="3"/>
      <c r="X52" s="21">
        <f t="shared" si="9"/>
      </c>
    </row>
    <row r="53" spans="1:24" ht="15">
      <c r="A53" s="6" t="s">
        <v>8</v>
      </c>
      <c r="B53" s="9">
        <v>4</v>
      </c>
      <c r="C53" s="212"/>
      <c r="D53" s="212"/>
      <c r="E53" s="9"/>
      <c r="X53" s="21">
        <f t="shared" si="9"/>
      </c>
    </row>
    <row r="54" spans="1:5" ht="15">
      <c r="A54" s="6" t="s">
        <v>9</v>
      </c>
      <c r="B54" s="9">
        <v>4</v>
      </c>
      <c r="C54" s="212">
        <v>13.5</v>
      </c>
      <c r="D54" s="212"/>
      <c r="E54" s="9"/>
    </row>
    <row r="55" spans="1:5" ht="15">
      <c r="A55" s="6" t="s">
        <v>10</v>
      </c>
      <c r="B55" s="9"/>
      <c r="C55" s="212"/>
      <c r="D55" s="212"/>
      <c r="E55" s="9"/>
    </row>
    <row r="56" spans="1:5" ht="15">
      <c r="A56" s="6" t="s">
        <v>11</v>
      </c>
      <c r="B56" s="9"/>
      <c r="C56" s="212"/>
      <c r="D56" s="212"/>
      <c r="E56" s="9"/>
    </row>
    <row r="57" spans="1:5" ht="15">
      <c r="A57" s="6" t="s">
        <v>12</v>
      </c>
      <c r="B57" s="9"/>
      <c r="C57" s="212"/>
      <c r="D57" s="212"/>
      <c r="E57" s="9"/>
    </row>
    <row r="58" spans="1:5" ht="15">
      <c r="A58" s="6" t="s">
        <v>13</v>
      </c>
      <c r="B58" s="9"/>
      <c r="C58" s="212"/>
      <c r="D58" s="212"/>
      <c r="E58" s="9"/>
    </row>
    <row r="59" spans="1:5" ht="15">
      <c r="A59" s="6" t="s">
        <v>14</v>
      </c>
      <c r="B59" s="9"/>
      <c r="C59" s="212"/>
      <c r="D59" s="212"/>
      <c r="E59" s="9"/>
    </row>
    <row r="60" spans="1:5" ht="15">
      <c r="A60" s="10"/>
      <c r="B60" s="6" t="s">
        <v>17</v>
      </c>
      <c r="C60" s="5" t="s">
        <v>18</v>
      </c>
      <c r="D60" s="211"/>
      <c r="E60" s="10"/>
    </row>
    <row r="61" spans="1:5" ht="15">
      <c r="A61" s="6" t="s">
        <v>16</v>
      </c>
      <c r="B61" s="9">
        <v>1</v>
      </c>
      <c r="C61" s="212">
        <v>25</v>
      </c>
      <c r="D61" s="211"/>
      <c r="E61" s="10"/>
    </row>
    <row r="62" spans="1:5" ht="15">
      <c r="A62" s="6" t="s">
        <v>15</v>
      </c>
      <c r="B62" s="9"/>
      <c r="C62" s="212"/>
      <c r="D62" s="211"/>
      <c r="E62" s="10"/>
    </row>
    <row r="65" spans="1:5" ht="15">
      <c r="A65" s="28" t="s">
        <v>7</v>
      </c>
      <c r="B65" s="6" t="s">
        <v>17</v>
      </c>
      <c r="C65" s="211"/>
      <c r="D65" s="211"/>
      <c r="E65" s="10"/>
    </row>
    <row r="66" spans="1:5" ht="15">
      <c r="A66" s="8" t="s">
        <v>42</v>
      </c>
      <c r="B66" s="9">
        <v>1</v>
      </c>
      <c r="C66" s="211"/>
      <c r="D66" s="211"/>
      <c r="E66" s="10"/>
    </row>
    <row r="67" spans="1:5" ht="30">
      <c r="A67" s="10"/>
      <c r="B67" s="6" t="s">
        <v>17</v>
      </c>
      <c r="C67" s="5" t="s">
        <v>190</v>
      </c>
      <c r="D67" s="5" t="s">
        <v>191</v>
      </c>
      <c r="E67" s="6" t="s">
        <v>34</v>
      </c>
    </row>
    <row r="68" spans="1:5" ht="15">
      <c r="A68" s="6" t="s">
        <v>8</v>
      </c>
      <c r="B68" s="9">
        <v>6</v>
      </c>
      <c r="C68" s="212"/>
      <c r="D68" s="212"/>
      <c r="E68" s="9"/>
    </row>
    <row r="69" spans="1:5" ht="15">
      <c r="A69" s="6" t="s">
        <v>9</v>
      </c>
      <c r="B69" s="9">
        <v>6</v>
      </c>
      <c r="C69" s="212">
        <v>13.5</v>
      </c>
      <c r="D69" s="212"/>
      <c r="E69" s="9"/>
    </row>
    <row r="70" spans="1:5" ht="15">
      <c r="A70" s="6" t="s">
        <v>10</v>
      </c>
      <c r="B70" s="9"/>
      <c r="C70" s="212"/>
      <c r="D70" s="212"/>
      <c r="E70" s="9"/>
    </row>
    <row r="71" spans="1:5" ht="15">
      <c r="A71" s="6" t="s">
        <v>11</v>
      </c>
      <c r="B71" s="9"/>
      <c r="C71" s="212"/>
      <c r="D71" s="212"/>
      <c r="E71" s="9"/>
    </row>
    <row r="72" spans="1:5" ht="15">
      <c r="A72" s="6" t="s">
        <v>12</v>
      </c>
      <c r="B72" s="9"/>
      <c r="C72" s="212"/>
      <c r="D72" s="212"/>
      <c r="E72" s="9"/>
    </row>
    <row r="73" spans="1:5" ht="15">
      <c r="A73" s="6" t="s">
        <v>13</v>
      </c>
      <c r="B73" s="9"/>
      <c r="C73" s="212"/>
      <c r="D73" s="212"/>
      <c r="E73" s="9"/>
    </row>
    <row r="74" spans="1:5" ht="15">
      <c r="A74" s="6" t="s">
        <v>14</v>
      </c>
      <c r="B74" s="9"/>
      <c r="C74" s="212"/>
      <c r="D74" s="212"/>
      <c r="E74" s="9"/>
    </row>
    <row r="75" spans="1:5" ht="15">
      <c r="A75" s="10"/>
      <c r="B75" s="6" t="s">
        <v>17</v>
      </c>
      <c r="C75" s="5" t="s">
        <v>18</v>
      </c>
      <c r="D75" s="211"/>
      <c r="E75" s="10"/>
    </row>
    <row r="76" spans="1:5" ht="15">
      <c r="A76" s="6" t="s">
        <v>16</v>
      </c>
      <c r="B76" s="9">
        <v>1</v>
      </c>
      <c r="C76" s="212">
        <v>25.4</v>
      </c>
      <c r="D76" s="211"/>
      <c r="E76" s="10"/>
    </row>
    <row r="77" spans="1:5" ht="15">
      <c r="A77" s="6" t="s">
        <v>15</v>
      </c>
      <c r="B77" s="9"/>
      <c r="C77" s="212"/>
      <c r="D77" s="211"/>
      <c r="E77" s="10"/>
    </row>
    <row r="80" spans="1:5" ht="15">
      <c r="A80" s="28" t="s">
        <v>7</v>
      </c>
      <c r="B80" s="6" t="s">
        <v>17</v>
      </c>
      <c r="C80" s="211"/>
      <c r="D80" s="211"/>
      <c r="E80" s="10"/>
    </row>
    <row r="81" spans="1:5" ht="15">
      <c r="A81" s="8" t="s">
        <v>43</v>
      </c>
      <c r="B81" s="9">
        <v>36</v>
      </c>
      <c r="C81" s="211"/>
      <c r="D81" s="211"/>
      <c r="E81" s="10"/>
    </row>
    <row r="82" spans="1:5" ht="30">
      <c r="A82" s="10"/>
      <c r="B82" s="6" t="s">
        <v>17</v>
      </c>
      <c r="C82" s="5" t="s">
        <v>190</v>
      </c>
      <c r="D82" s="5" t="s">
        <v>191</v>
      </c>
      <c r="E82" s="6" t="s">
        <v>34</v>
      </c>
    </row>
    <row r="83" spans="1:5" ht="15">
      <c r="A83" s="6" t="s">
        <v>8</v>
      </c>
      <c r="B83" s="9">
        <v>216</v>
      </c>
      <c r="C83" s="212"/>
      <c r="D83" s="212"/>
      <c r="E83" s="9"/>
    </row>
    <row r="84" spans="1:5" ht="15">
      <c r="A84" s="6" t="s">
        <v>9</v>
      </c>
      <c r="B84" s="9">
        <v>180</v>
      </c>
      <c r="C84" s="212">
        <v>13.5</v>
      </c>
      <c r="D84" s="212"/>
      <c r="E84" s="9"/>
    </row>
    <row r="85" spans="1:5" ht="15">
      <c r="A85" s="6" t="s">
        <v>10</v>
      </c>
      <c r="B85" s="9">
        <v>36</v>
      </c>
      <c r="C85" s="212">
        <v>16.5</v>
      </c>
      <c r="D85" s="212"/>
      <c r="E85" s="9"/>
    </row>
    <row r="86" spans="1:5" ht="15">
      <c r="A86" s="6" t="s">
        <v>11</v>
      </c>
      <c r="B86" s="9"/>
      <c r="C86" s="212"/>
      <c r="D86" s="212"/>
      <c r="E86" s="9"/>
    </row>
    <row r="87" spans="1:5" ht="15">
      <c r="A87" s="6" t="s">
        <v>12</v>
      </c>
      <c r="B87" s="9"/>
      <c r="C87" s="212"/>
      <c r="D87" s="212"/>
      <c r="E87" s="9"/>
    </row>
    <row r="88" spans="1:5" ht="15">
      <c r="A88" s="6" t="s">
        <v>13</v>
      </c>
      <c r="B88" s="9"/>
      <c r="C88" s="212"/>
      <c r="D88" s="212"/>
      <c r="E88" s="9"/>
    </row>
    <row r="89" spans="1:5" ht="15">
      <c r="A89" s="6" t="s">
        <v>14</v>
      </c>
      <c r="B89" s="9"/>
      <c r="C89" s="212"/>
      <c r="D89" s="212"/>
      <c r="E89" s="9"/>
    </row>
    <row r="90" spans="1:5" ht="15">
      <c r="A90" s="10"/>
      <c r="B90" s="6" t="s">
        <v>17</v>
      </c>
      <c r="C90" s="5" t="s">
        <v>18</v>
      </c>
      <c r="D90" s="211"/>
      <c r="E90" s="10"/>
    </row>
    <row r="91" spans="1:5" ht="15">
      <c r="A91" s="6" t="s">
        <v>16</v>
      </c>
      <c r="B91" s="9">
        <v>36</v>
      </c>
      <c r="C91" s="212">
        <v>26</v>
      </c>
      <c r="D91" s="211"/>
      <c r="E91" s="10"/>
    </row>
    <row r="92" spans="1:5" ht="15">
      <c r="A92" s="6" t="s">
        <v>15</v>
      </c>
      <c r="B92" s="9"/>
      <c r="C92" s="212"/>
      <c r="D92" s="211"/>
      <c r="E92" s="10"/>
    </row>
    <row r="95" spans="1:5" ht="15">
      <c r="A95" s="28" t="s">
        <v>7</v>
      </c>
      <c r="B95" s="6" t="s">
        <v>17</v>
      </c>
      <c r="C95" s="211"/>
      <c r="D95" s="211"/>
      <c r="E95" s="10"/>
    </row>
    <row r="96" spans="1:5" ht="15">
      <c r="A96" s="8" t="s">
        <v>38</v>
      </c>
      <c r="B96" s="9">
        <v>16</v>
      </c>
      <c r="C96" s="211"/>
      <c r="D96" s="211"/>
      <c r="E96" s="10"/>
    </row>
    <row r="97" spans="1:5" ht="30">
      <c r="A97" s="10"/>
      <c r="B97" s="6" t="s">
        <v>17</v>
      </c>
      <c r="C97" s="5" t="s">
        <v>190</v>
      </c>
      <c r="D97" s="5" t="s">
        <v>191</v>
      </c>
      <c r="E97" s="6" t="s">
        <v>34</v>
      </c>
    </row>
    <row r="98" spans="1:5" ht="15">
      <c r="A98" s="6" t="s">
        <v>8</v>
      </c>
      <c r="B98" s="9">
        <v>96</v>
      </c>
      <c r="C98" s="212"/>
      <c r="D98" s="212"/>
      <c r="E98" s="9"/>
    </row>
    <row r="99" spans="1:5" ht="15">
      <c r="A99" s="6" t="s">
        <v>9</v>
      </c>
      <c r="B99" s="9">
        <v>64</v>
      </c>
      <c r="C99" s="212">
        <v>16</v>
      </c>
      <c r="D99" s="212"/>
      <c r="E99" s="9"/>
    </row>
    <row r="100" spans="1:5" ht="15">
      <c r="A100" s="6" t="s">
        <v>10</v>
      </c>
      <c r="B100" s="9">
        <v>16</v>
      </c>
      <c r="C100" s="212">
        <v>13.2</v>
      </c>
      <c r="D100" s="212"/>
      <c r="E100" s="9"/>
    </row>
    <row r="101" spans="1:5" ht="15">
      <c r="A101" s="6" t="s">
        <v>11</v>
      </c>
      <c r="B101" s="9">
        <v>16</v>
      </c>
      <c r="C101" s="212">
        <v>14</v>
      </c>
      <c r="D101" s="212"/>
      <c r="E101" s="9"/>
    </row>
    <row r="102" spans="1:5" ht="15">
      <c r="A102" s="6" t="s">
        <v>12</v>
      </c>
      <c r="B102" s="9"/>
      <c r="C102" s="212"/>
      <c r="D102" s="212"/>
      <c r="E102" s="9"/>
    </row>
    <row r="103" spans="1:5" ht="15">
      <c r="A103" s="6" t="s">
        <v>13</v>
      </c>
      <c r="B103" s="9"/>
      <c r="C103" s="212"/>
      <c r="D103" s="212"/>
      <c r="E103" s="9"/>
    </row>
    <row r="104" spans="1:5" ht="15">
      <c r="A104" s="6" t="s">
        <v>14</v>
      </c>
      <c r="B104" s="9"/>
      <c r="C104" s="212"/>
      <c r="D104" s="212"/>
      <c r="E104" s="9"/>
    </row>
    <row r="105" spans="1:5" ht="15">
      <c r="A105" s="10"/>
      <c r="B105" s="6" t="s">
        <v>17</v>
      </c>
      <c r="C105" s="5" t="s">
        <v>18</v>
      </c>
      <c r="D105" s="211"/>
      <c r="E105" s="10"/>
    </row>
    <row r="106" spans="1:5" ht="15">
      <c r="A106" s="6" t="s">
        <v>16</v>
      </c>
      <c r="B106" s="9">
        <v>16</v>
      </c>
      <c r="C106" s="212">
        <v>28</v>
      </c>
      <c r="D106" s="211"/>
      <c r="E106" s="10"/>
    </row>
    <row r="107" spans="1:5" ht="15">
      <c r="A107" s="6" t="s">
        <v>15</v>
      </c>
      <c r="B107" s="9"/>
      <c r="C107" s="212"/>
      <c r="D107" s="211"/>
      <c r="E107" s="10"/>
    </row>
    <row r="110" spans="7:9" ht="15">
      <c r="G110" s="15"/>
      <c r="H110" s="3"/>
      <c r="I110" s="3"/>
    </row>
    <row r="111" spans="7:9" ht="15">
      <c r="G111" s="3"/>
      <c r="H111" s="3"/>
      <c r="I111" s="3"/>
    </row>
    <row r="112" spans="7:9" ht="15">
      <c r="G112" s="15"/>
      <c r="H112" s="3"/>
      <c r="I112" s="3"/>
    </row>
    <row r="113" spans="7:9" ht="15">
      <c r="G113" s="4"/>
      <c r="H113" s="4"/>
      <c r="I113" s="4"/>
    </row>
    <row r="125" spans="1:5" ht="15">
      <c r="A125" s="16"/>
      <c r="B125" s="15"/>
      <c r="C125" s="17"/>
      <c r="D125" s="17"/>
      <c r="E125" s="3"/>
    </row>
    <row r="126" spans="1:5" ht="15">
      <c r="A126" s="17"/>
      <c r="B126" s="18"/>
      <c r="C126" s="17"/>
      <c r="D126" s="17"/>
      <c r="E126" s="3"/>
    </row>
    <row r="127" spans="1:5" ht="15">
      <c r="A127" s="3"/>
      <c r="B127" s="15"/>
      <c r="C127" s="16"/>
      <c r="D127" s="16"/>
      <c r="E127" s="15"/>
    </row>
    <row r="128" spans="1:5" ht="15">
      <c r="A128" s="15"/>
      <c r="B128" s="18"/>
      <c r="C128" s="213"/>
      <c r="D128" s="213"/>
      <c r="E128" s="18"/>
    </row>
    <row r="129" spans="1:5" ht="15">
      <c r="A129" s="15"/>
      <c r="B129" s="18"/>
      <c r="C129" s="213"/>
      <c r="D129" s="213"/>
      <c r="E129" s="18"/>
    </row>
    <row r="130" spans="1:5" ht="15">
      <c r="A130" s="15"/>
      <c r="B130" s="18"/>
      <c r="C130" s="213"/>
      <c r="D130" s="213"/>
      <c r="E130" s="18"/>
    </row>
    <row r="131" spans="1:5" ht="15">
      <c r="A131" s="15"/>
      <c r="B131" s="18"/>
      <c r="C131" s="213"/>
      <c r="D131" s="213"/>
      <c r="E131" s="18"/>
    </row>
    <row r="132" spans="1:5" ht="15">
      <c r="A132" s="15"/>
      <c r="B132" s="18"/>
      <c r="C132" s="213"/>
      <c r="D132" s="213"/>
      <c r="E132" s="18"/>
    </row>
    <row r="133" spans="1:5" ht="15">
      <c r="A133" s="15"/>
      <c r="B133" s="18"/>
      <c r="C133" s="213"/>
      <c r="D133" s="213"/>
      <c r="E133" s="18"/>
    </row>
    <row r="134" spans="1:5" ht="15">
      <c r="A134" s="15"/>
      <c r="B134" s="18"/>
      <c r="C134" s="213"/>
      <c r="D134" s="213"/>
      <c r="E134" s="18"/>
    </row>
    <row r="135" spans="1:5" ht="15">
      <c r="A135" s="3"/>
      <c r="B135" s="15"/>
      <c r="C135" s="16"/>
      <c r="D135" s="17"/>
      <c r="E135" s="3"/>
    </row>
    <row r="136" spans="1:5" ht="15">
      <c r="A136" s="15"/>
      <c r="B136" s="18"/>
      <c r="C136" s="213"/>
      <c r="D136" s="17"/>
      <c r="E136" s="3"/>
    </row>
    <row r="137" spans="1:5" ht="15">
      <c r="A137" s="15"/>
      <c r="B137" s="18"/>
      <c r="C137" s="213"/>
      <c r="D137" s="17"/>
      <c r="E137" s="3"/>
    </row>
    <row r="138" spans="1:5" ht="15">
      <c r="A138" s="2"/>
      <c r="B138" s="2"/>
      <c r="C138" s="214"/>
      <c r="D138" s="214"/>
      <c r="E138" s="2"/>
    </row>
    <row r="139" spans="1:5" ht="15">
      <c r="A139" s="2"/>
      <c r="B139" s="2"/>
      <c r="C139" s="214"/>
      <c r="D139" s="214"/>
      <c r="E139" s="2"/>
    </row>
    <row r="140" spans="1:5" ht="15">
      <c r="A140" s="16"/>
      <c r="B140" s="15"/>
      <c r="C140" s="17"/>
      <c r="D140" s="17"/>
      <c r="E140" s="3"/>
    </row>
    <row r="141" spans="1:5" ht="15">
      <c r="A141" s="17"/>
      <c r="B141" s="18"/>
      <c r="C141" s="17"/>
      <c r="D141" s="17"/>
      <c r="E141" s="3"/>
    </row>
    <row r="142" spans="1:5" ht="15">
      <c r="A142" s="3"/>
      <c r="B142" s="15"/>
      <c r="C142" s="16"/>
      <c r="D142" s="16"/>
      <c r="E142" s="15"/>
    </row>
    <row r="143" spans="1:5" ht="15">
      <c r="A143" s="15"/>
      <c r="B143" s="18"/>
      <c r="C143" s="213"/>
      <c r="D143" s="213"/>
      <c r="E143" s="18"/>
    </row>
    <row r="144" spans="1:5" ht="15">
      <c r="A144" s="15"/>
      <c r="B144" s="18"/>
      <c r="C144" s="213"/>
      <c r="D144" s="213"/>
      <c r="E144" s="18"/>
    </row>
    <row r="145" spans="1:5" ht="15">
      <c r="A145" s="15"/>
      <c r="B145" s="18"/>
      <c r="C145" s="213"/>
      <c r="D145" s="213"/>
      <c r="E145" s="18"/>
    </row>
    <row r="146" spans="1:5" ht="15">
      <c r="A146" s="15"/>
      <c r="B146" s="18"/>
      <c r="C146" s="213"/>
      <c r="D146" s="213"/>
      <c r="E146" s="18"/>
    </row>
    <row r="147" spans="1:5" ht="15">
      <c r="A147" s="15"/>
      <c r="B147" s="18"/>
      <c r="C147" s="213"/>
      <c r="D147" s="213"/>
      <c r="E147" s="18"/>
    </row>
    <row r="148" spans="1:5" ht="15">
      <c r="A148" s="15"/>
      <c r="B148" s="18"/>
      <c r="C148" s="213"/>
      <c r="D148" s="213"/>
      <c r="E148" s="18"/>
    </row>
    <row r="149" spans="1:5" ht="15">
      <c r="A149" s="15"/>
      <c r="B149" s="18"/>
      <c r="C149" s="213"/>
      <c r="D149" s="213"/>
      <c r="E149" s="18"/>
    </row>
    <row r="150" spans="1:5" ht="15">
      <c r="A150" s="3"/>
      <c r="B150" s="15"/>
      <c r="C150" s="16"/>
      <c r="D150" s="17"/>
      <c r="E150" s="3"/>
    </row>
    <row r="151" spans="1:5" ht="15">
      <c r="A151" s="15"/>
      <c r="B151" s="18"/>
      <c r="C151" s="213"/>
      <c r="D151" s="17"/>
      <c r="E151" s="3"/>
    </row>
    <row r="152" spans="1:5" ht="15">
      <c r="A152" s="15"/>
      <c r="B152" s="18"/>
      <c r="C152" s="213"/>
      <c r="D152" s="17"/>
      <c r="E152" s="3"/>
    </row>
    <row r="153" spans="1:5" ht="15">
      <c r="A153" s="2"/>
      <c r="B153" s="2"/>
      <c r="C153" s="214"/>
      <c r="D153" s="214"/>
      <c r="E153" s="2"/>
    </row>
  </sheetData>
  <sheetProtection/>
  <printOptions/>
  <pageMargins left="0.7" right="0.7" top="0.75" bottom="0.75" header="0.3" footer="0.3"/>
  <pageSetup horizontalDpi="600" verticalDpi="600" orientation="landscape" paperSize="8" scale="74" r:id="rId1"/>
  <rowBreaks count="2" manualBreakCount="2">
    <brk id="33" max="255" man="1"/>
    <brk id="64" max="255"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tabColor theme="9"/>
  </sheetPr>
  <dimension ref="A1:X292"/>
  <sheetViews>
    <sheetView view="pageBreakPreview" zoomScale="60" zoomScaleNormal="60" zoomScalePageLayoutView="0" workbookViewId="0" topLeftCell="A151">
      <selection activeCell="G19" sqref="G19"/>
    </sheetView>
  </sheetViews>
  <sheetFormatPr defaultColWidth="9.140625" defaultRowHeight="15"/>
  <cols>
    <col min="1" max="1" width="32.57421875" style="0" customWidth="1"/>
    <col min="2" max="2" width="9.8515625" style="0" customWidth="1"/>
    <col min="3" max="3" width="19.57421875" style="210" customWidth="1"/>
    <col min="4" max="4" width="26.421875" style="217" customWidth="1"/>
    <col min="5" max="5" width="18.28125" style="217" customWidth="1"/>
    <col min="11" max="11" width="80.421875" style="0" customWidth="1"/>
    <col min="12" max="12" width="11.28125" style="0" customWidth="1"/>
    <col min="14" max="24" width="15.7109375" style="0" customWidth="1"/>
  </cols>
  <sheetData>
    <row r="1" spans="1:2" ht="15.75" thickBot="1">
      <c r="A1" s="6" t="s">
        <v>19</v>
      </c>
      <c r="B1" s="10"/>
    </row>
    <row r="2" spans="1:24" ht="75">
      <c r="A2" s="7" t="s">
        <v>48</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104</v>
      </c>
      <c r="N3" s="140" t="s">
        <v>168</v>
      </c>
      <c r="O3" s="107">
        <f aca="true" t="shared" si="0" ref="O3:O18">P3/Q3</f>
        <v>7</v>
      </c>
      <c r="P3" s="98">
        <f>B10</f>
        <v>7</v>
      </c>
      <c r="Q3" s="98">
        <f>B8</f>
        <v>1</v>
      </c>
      <c r="R3" s="98">
        <f>B18</f>
        <v>1</v>
      </c>
      <c r="S3" s="98">
        <f>C18</f>
        <v>40</v>
      </c>
      <c r="T3" s="98">
        <f>B12</f>
        <v>1</v>
      </c>
      <c r="U3" s="99">
        <f>P3-T3</f>
        <v>6</v>
      </c>
      <c r="V3" s="100">
        <f>R3*S3</f>
        <v>40</v>
      </c>
      <c r="W3" s="134">
        <f>V3/P3</f>
        <v>5.714285714285714</v>
      </c>
      <c r="X3" s="135">
        <f>V3/U3</f>
        <v>6.666666666666667</v>
      </c>
    </row>
    <row r="4" spans="14:24" ht="15">
      <c r="N4" s="141"/>
      <c r="O4" s="108">
        <f t="shared" si="0"/>
        <v>5</v>
      </c>
      <c r="P4" s="94">
        <f>B25</f>
        <v>5</v>
      </c>
      <c r="Q4" s="94">
        <f>B23</f>
        <v>1</v>
      </c>
      <c r="R4" s="94">
        <f>B33</f>
        <v>1</v>
      </c>
      <c r="S4" s="94">
        <f>C33</f>
        <v>28</v>
      </c>
      <c r="T4" s="94">
        <v>0</v>
      </c>
      <c r="U4" s="95">
        <f aca="true" t="shared" si="1" ref="U4:U9">P4-T4</f>
        <v>5</v>
      </c>
      <c r="V4" s="96">
        <f aca="true" t="shared" si="2" ref="V4:V9">R4*S4</f>
        <v>28</v>
      </c>
      <c r="W4" s="136">
        <f aca="true" t="shared" si="3" ref="W4:W9">V4/P4</f>
        <v>5.6</v>
      </c>
      <c r="X4" s="137">
        <f aca="true" t="shared" si="4" ref="X4:X9">V4/U4</f>
        <v>5.6</v>
      </c>
    </row>
    <row r="5" spans="11:24" ht="15">
      <c r="K5" s="20" t="str">
        <f>'Summary Sheet'!C6</f>
        <v>General Communal Area</v>
      </c>
      <c r="L5" s="182">
        <f>B3</f>
        <v>104</v>
      </c>
      <c r="N5" s="141"/>
      <c r="O5" s="108">
        <f t="shared" si="0"/>
        <v>5</v>
      </c>
      <c r="P5" s="94">
        <f>B40</f>
        <v>5</v>
      </c>
      <c r="Q5" s="94">
        <f>B38</f>
        <v>1</v>
      </c>
      <c r="R5" s="94">
        <f>B48</f>
        <v>1</v>
      </c>
      <c r="S5" s="94">
        <f>C48</f>
        <v>28</v>
      </c>
      <c r="T5" s="94">
        <f>B42</f>
        <v>1</v>
      </c>
      <c r="U5" s="95">
        <f t="shared" si="1"/>
        <v>4</v>
      </c>
      <c r="V5" s="96">
        <f t="shared" si="2"/>
        <v>28</v>
      </c>
      <c r="W5" s="136">
        <f t="shared" si="3"/>
        <v>5.6</v>
      </c>
      <c r="X5" s="137">
        <f t="shared" si="4"/>
        <v>7</v>
      </c>
    </row>
    <row r="6" spans="11:24" ht="15">
      <c r="K6" s="20" t="str">
        <f>'Summary Sheet'!C7</f>
        <v>Kitchen / Dining / Living Area (Shared Internal Area)</v>
      </c>
      <c r="L6" s="188">
        <f>C18+C33+C48+(B63*C63)+(B78*C78)+(B93*C93)+(B108*C108)+(B123*C123)+C138+C153+C168+C183+C198+C213+C228+C243</f>
        <v>1058</v>
      </c>
      <c r="N6" s="141"/>
      <c r="O6" s="108">
        <f t="shared" si="0"/>
        <v>8</v>
      </c>
      <c r="P6" s="94">
        <f>B55</f>
        <v>32</v>
      </c>
      <c r="Q6" s="94">
        <f>B53</f>
        <v>4</v>
      </c>
      <c r="R6" s="94">
        <f>B48</f>
        <v>1</v>
      </c>
      <c r="S6" s="94">
        <f>C63</f>
        <v>42</v>
      </c>
      <c r="T6" s="94">
        <v>0</v>
      </c>
      <c r="U6" s="95">
        <f t="shared" si="1"/>
        <v>32</v>
      </c>
      <c r="V6" s="96">
        <f t="shared" si="2"/>
        <v>42</v>
      </c>
      <c r="W6" s="136">
        <f t="shared" si="3"/>
        <v>1.3125</v>
      </c>
      <c r="X6" s="137">
        <f t="shared" si="4"/>
        <v>1.3125</v>
      </c>
    </row>
    <row r="7" spans="1:24" ht="15">
      <c r="A7" s="28" t="s">
        <v>7</v>
      </c>
      <c r="B7" s="6" t="s">
        <v>17</v>
      </c>
      <c r="C7" s="211"/>
      <c r="D7" s="218"/>
      <c r="E7" s="218"/>
      <c r="K7" s="20" t="str">
        <f>'Summary Sheet'!C8</f>
        <v>Total Communal Area</v>
      </c>
      <c r="L7" s="185">
        <f>SUM(L5:L6)</f>
        <v>1162</v>
      </c>
      <c r="N7" s="141"/>
      <c r="O7" s="108">
        <f t="shared" si="0"/>
        <v>7</v>
      </c>
      <c r="P7" s="94">
        <f>B70</f>
        <v>28</v>
      </c>
      <c r="Q7" s="94">
        <f>B68</f>
        <v>4</v>
      </c>
      <c r="R7" s="94">
        <f>B78</f>
        <v>4</v>
      </c>
      <c r="S7" s="94">
        <f>C78</f>
        <v>35</v>
      </c>
      <c r="T7" s="94">
        <v>0</v>
      </c>
      <c r="U7" s="95">
        <f t="shared" si="1"/>
        <v>28</v>
      </c>
      <c r="V7" s="96">
        <f t="shared" si="2"/>
        <v>140</v>
      </c>
      <c r="W7" s="136">
        <f t="shared" si="3"/>
        <v>5</v>
      </c>
      <c r="X7" s="137">
        <f t="shared" si="4"/>
        <v>5</v>
      </c>
    </row>
    <row r="8" spans="1:24" ht="15">
      <c r="A8" s="8" t="s">
        <v>106</v>
      </c>
      <c r="B8" s="9">
        <v>1</v>
      </c>
      <c r="C8" s="211"/>
      <c r="D8" s="218"/>
      <c r="E8" s="218"/>
      <c r="K8" s="20"/>
      <c r="L8" s="182"/>
      <c r="N8" s="141"/>
      <c r="O8" s="108">
        <f t="shared" si="0"/>
        <v>5</v>
      </c>
      <c r="P8" s="94">
        <f>B85</f>
        <v>20</v>
      </c>
      <c r="Q8" s="94">
        <f>B83</f>
        <v>4</v>
      </c>
      <c r="R8" s="94">
        <f>B93</f>
        <v>4</v>
      </c>
      <c r="S8" s="94">
        <f>C93</f>
        <v>30</v>
      </c>
      <c r="T8" s="94">
        <v>0</v>
      </c>
      <c r="U8" s="95">
        <f t="shared" si="1"/>
        <v>20</v>
      </c>
      <c r="V8" s="96">
        <f t="shared" si="2"/>
        <v>120</v>
      </c>
      <c r="W8" s="136">
        <f t="shared" si="3"/>
        <v>6</v>
      </c>
      <c r="X8" s="137">
        <f t="shared" si="4"/>
        <v>6</v>
      </c>
    </row>
    <row r="9" spans="1:24" ht="15">
      <c r="A9" s="10"/>
      <c r="B9" s="6" t="s">
        <v>17</v>
      </c>
      <c r="C9" s="5" t="s">
        <v>190</v>
      </c>
      <c r="D9" s="219" t="s">
        <v>191</v>
      </c>
      <c r="E9" s="219" t="s">
        <v>34</v>
      </c>
      <c r="K9" s="20"/>
      <c r="L9" s="182"/>
      <c r="N9" s="141"/>
      <c r="O9" s="108">
        <f t="shared" si="0"/>
        <v>5</v>
      </c>
      <c r="P9" s="94">
        <f>B100</f>
        <v>40</v>
      </c>
      <c r="Q9" s="94">
        <f>B98</f>
        <v>8</v>
      </c>
      <c r="R9" s="94">
        <f>B108</f>
        <v>8</v>
      </c>
      <c r="S9" s="94">
        <f>C108</f>
        <v>28</v>
      </c>
      <c r="T9" s="94">
        <v>0</v>
      </c>
      <c r="U9" s="95">
        <f t="shared" si="1"/>
        <v>40</v>
      </c>
      <c r="V9" s="96">
        <f t="shared" si="2"/>
        <v>224</v>
      </c>
      <c r="W9" s="136">
        <f t="shared" si="3"/>
        <v>5.6</v>
      </c>
      <c r="X9" s="137">
        <f t="shared" si="4"/>
        <v>5.6</v>
      </c>
    </row>
    <row r="10" spans="1:24" ht="15">
      <c r="A10" s="6" t="s">
        <v>8</v>
      </c>
      <c r="B10" s="9">
        <v>7</v>
      </c>
      <c r="C10" s="212"/>
      <c r="D10" s="9"/>
      <c r="E10" s="9"/>
      <c r="K10" s="20" t="str">
        <f>'Summary Sheet'!C10</f>
        <v>Number of Bedrooms (cluster &amp; studio) (non Accessible)</v>
      </c>
      <c r="L10" s="6">
        <f>B11+B26+B41+B56+B57+B71+B86+B87+B101+B116+B131+B146+B147+B161+B176+B191+B206+B207+B221+B236</f>
        <v>198</v>
      </c>
      <c r="N10" s="141"/>
      <c r="O10" s="108">
        <f t="shared" si="0"/>
        <v>8</v>
      </c>
      <c r="P10" s="94">
        <f>B115</f>
        <v>8</v>
      </c>
      <c r="Q10" s="94">
        <f>B113</f>
        <v>1</v>
      </c>
      <c r="R10" s="94">
        <f>B123</f>
        <v>1</v>
      </c>
      <c r="S10" s="94">
        <f>C123</f>
        <v>42</v>
      </c>
      <c r="T10" s="94">
        <f>B117</f>
        <v>1</v>
      </c>
      <c r="U10" s="95">
        <f aca="true" t="shared" si="5" ref="U10:U18">P10-T10</f>
        <v>7</v>
      </c>
      <c r="V10" s="96">
        <f aca="true" t="shared" si="6" ref="V10:V18">R10*S10</f>
        <v>42</v>
      </c>
      <c r="W10" s="136">
        <f aca="true" t="shared" si="7" ref="W10:W18">V10/P10</f>
        <v>5.25</v>
      </c>
      <c r="X10" s="137">
        <f aca="true" t="shared" si="8" ref="X10:X18">V10/U10</f>
        <v>6</v>
      </c>
    </row>
    <row r="11" spans="1:24" ht="15">
      <c r="A11" s="6" t="s">
        <v>9</v>
      </c>
      <c r="B11" s="9">
        <v>6</v>
      </c>
      <c r="C11" s="212">
        <v>13</v>
      </c>
      <c r="D11" s="9"/>
      <c r="E11" s="9"/>
      <c r="K11" s="20" t="str">
        <f>'Summary Sheet'!C11</f>
        <v>Total Area of Bedrooms (cluster &amp; studio) (non Accessible)</v>
      </c>
      <c r="L11" s="188">
        <f>(B11*C11)+(B26*C26)+(B41*C41)+(B56*C56)+(B57*C57)+(B71*C71)+(B86*C86)+(B87*C87)+(B101*C101)+(B116*C116)+(B131*C131)+(B146*C146)+(B147*C147)+(B161*C161)+(B176*C176)+(B191*C191)+(B206*C206)+(B207*C207)+(B221*C221)+(B236*C236)</f>
        <v>2664</v>
      </c>
      <c r="N11" s="141"/>
      <c r="O11" s="108">
        <f t="shared" si="0"/>
        <v>7</v>
      </c>
      <c r="P11" s="94">
        <f>B130</f>
        <v>7</v>
      </c>
      <c r="Q11" s="94">
        <f>B128</f>
        <v>1</v>
      </c>
      <c r="R11" s="94">
        <f>B138</f>
        <v>1</v>
      </c>
      <c r="S11" s="94">
        <f>C138</f>
        <v>34</v>
      </c>
      <c r="T11" s="94">
        <v>0</v>
      </c>
      <c r="U11" s="96">
        <f t="shared" si="5"/>
        <v>7</v>
      </c>
      <c r="V11" s="96">
        <f t="shared" si="6"/>
        <v>34</v>
      </c>
      <c r="W11" s="136">
        <f t="shared" si="7"/>
        <v>4.857142857142857</v>
      </c>
      <c r="X11" s="137">
        <f t="shared" si="8"/>
        <v>4.857142857142857</v>
      </c>
    </row>
    <row r="12" spans="1:24" ht="15">
      <c r="A12" s="6" t="s">
        <v>10</v>
      </c>
      <c r="B12" s="9">
        <v>1</v>
      </c>
      <c r="C12" s="212">
        <v>21</v>
      </c>
      <c r="D12" s="9"/>
      <c r="E12" s="9" t="s">
        <v>35</v>
      </c>
      <c r="K12" s="20" t="str">
        <f>'Summary Sheet'!C12</f>
        <v>Average size of Bedroom (cluster &amp; studio) (non Accessible)</v>
      </c>
      <c r="L12" s="185">
        <f>L11/L10</f>
        <v>13.454545454545455</v>
      </c>
      <c r="N12" s="141"/>
      <c r="O12" s="108">
        <f t="shared" si="0"/>
        <v>7</v>
      </c>
      <c r="P12" s="94">
        <f>B145</f>
        <v>7</v>
      </c>
      <c r="Q12" s="94">
        <f>B143</f>
        <v>1</v>
      </c>
      <c r="R12" s="94">
        <f>B153</f>
        <v>1</v>
      </c>
      <c r="S12" s="94">
        <f>C153</f>
        <v>30</v>
      </c>
      <c r="T12" s="94">
        <v>0</v>
      </c>
      <c r="U12" s="95">
        <f t="shared" si="5"/>
        <v>7</v>
      </c>
      <c r="V12" s="96">
        <f t="shared" si="6"/>
        <v>30</v>
      </c>
      <c r="W12" s="136">
        <f t="shared" si="7"/>
        <v>4.285714285714286</v>
      </c>
      <c r="X12" s="137">
        <f t="shared" si="8"/>
        <v>4.285714285714286</v>
      </c>
    </row>
    <row r="13" spans="1:24" ht="15">
      <c r="A13" s="6" t="s">
        <v>11</v>
      </c>
      <c r="B13" s="9"/>
      <c r="C13" s="212"/>
      <c r="D13" s="9"/>
      <c r="E13" s="9"/>
      <c r="K13" s="20"/>
      <c r="L13" s="185"/>
      <c r="N13" s="141"/>
      <c r="O13" s="108">
        <f t="shared" si="0"/>
        <v>6</v>
      </c>
      <c r="P13" s="94">
        <f>B160</f>
        <v>6</v>
      </c>
      <c r="Q13" s="94">
        <f>B158</f>
        <v>1</v>
      </c>
      <c r="R13" s="94">
        <f>B168</f>
        <v>1</v>
      </c>
      <c r="S13" s="94">
        <f>C168</f>
        <v>28</v>
      </c>
      <c r="T13" s="94">
        <f>B162</f>
        <v>1</v>
      </c>
      <c r="U13" s="95">
        <f t="shared" si="5"/>
        <v>5</v>
      </c>
      <c r="V13" s="96">
        <f t="shared" si="6"/>
        <v>28</v>
      </c>
      <c r="W13" s="136">
        <f t="shared" si="7"/>
        <v>4.666666666666667</v>
      </c>
      <c r="X13" s="137">
        <f t="shared" si="8"/>
        <v>5.6</v>
      </c>
    </row>
    <row r="14" spans="1:24" ht="15">
      <c r="A14" s="6" t="s">
        <v>12</v>
      </c>
      <c r="B14" s="9"/>
      <c r="C14" s="212"/>
      <c r="D14" s="9"/>
      <c r="E14" s="9"/>
      <c r="K14" s="20" t="str">
        <f>'Summary Sheet'!C14</f>
        <v>Number of Cluster Bedrooms (non Accessible)</v>
      </c>
      <c r="L14" s="186">
        <f>L10</f>
        <v>198</v>
      </c>
      <c r="N14" s="141"/>
      <c r="O14" s="108">
        <f t="shared" si="0"/>
        <v>8</v>
      </c>
      <c r="P14" s="94">
        <f>B175</f>
        <v>8</v>
      </c>
      <c r="Q14" s="94">
        <f>B173</f>
        <v>1</v>
      </c>
      <c r="R14" s="94">
        <f>B183</f>
        <v>1</v>
      </c>
      <c r="S14" s="94">
        <f>C183</f>
        <v>42</v>
      </c>
      <c r="T14" s="94">
        <f>B177</f>
        <v>1</v>
      </c>
      <c r="U14" s="95">
        <f t="shared" si="5"/>
        <v>7</v>
      </c>
      <c r="V14" s="96">
        <f t="shared" si="6"/>
        <v>42</v>
      </c>
      <c r="W14" s="136">
        <f t="shared" si="7"/>
        <v>5.25</v>
      </c>
      <c r="X14" s="137">
        <f t="shared" si="8"/>
        <v>6</v>
      </c>
    </row>
    <row r="15" spans="1:24" ht="15">
      <c r="A15" s="6" t="s">
        <v>13</v>
      </c>
      <c r="B15" s="9"/>
      <c r="C15" s="212"/>
      <c r="D15" s="9"/>
      <c r="E15" s="9"/>
      <c r="K15" s="20" t="str">
        <f>'Summary Sheet'!C15</f>
        <v>Total Area of Cluster Bedrooms (non Accessible)</v>
      </c>
      <c r="L15" s="6">
        <f>L11</f>
        <v>2664</v>
      </c>
      <c r="N15" s="141"/>
      <c r="O15" s="108">
        <f t="shared" si="0"/>
        <v>7</v>
      </c>
      <c r="P15" s="94">
        <f>B190</f>
        <v>7</v>
      </c>
      <c r="Q15" s="94">
        <f>B188</f>
        <v>1</v>
      </c>
      <c r="R15" s="94">
        <f>B198</f>
        <v>1</v>
      </c>
      <c r="S15" s="94">
        <f>C198</f>
        <v>28</v>
      </c>
      <c r="T15" s="94">
        <v>0</v>
      </c>
      <c r="U15" s="95">
        <f t="shared" si="5"/>
        <v>7</v>
      </c>
      <c r="V15" s="96">
        <f t="shared" si="6"/>
        <v>28</v>
      </c>
      <c r="W15" s="136">
        <f t="shared" si="7"/>
        <v>4</v>
      </c>
      <c r="X15" s="137">
        <f t="shared" si="8"/>
        <v>4</v>
      </c>
    </row>
    <row r="16" spans="1:24" ht="15">
      <c r="A16" s="6" t="s">
        <v>14</v>
      </c>
      <c r="B16" s="9"/>
      <c r="C16" s="212"/>
      <c r="D16" s="9"/>
      <c r="E16" s="9"/>
      <c r="K16" s="20" t="str">
        <f>'Summary Sheet'!C16</f>
        <v>Average Size of Cluster Bedroom (non Accessible)</v>
      </c>
      <c r="L16" s="187">
        <f>L12</f>
        <v>13.454545454545455</v>
      </c>
      <c r="N16" s="141"/>
      <c r="O16" s="108">
        <f t="shared" si="0"/>
        <v>10</v>
      </c>
      <c r="P16" s="94">
        <f>B205</f>
        <v>10</v>
      </c>
      <c r="Q16" s="94">
        <f>B203</f>
        <v>1</v>
      </c>
      <c r="R16" s="94">
        <f>B213</f>
        <v>1</v>
      </c>
      <c r="S16" s="94">
        <f>C213</f>
        <v>30</v>
      </c>
      <c r="T16" s="94">
        <f>B208</f>
        <v>1</v>
      </c>
      <c r="U16" s="95">
        <f t="shared" si="5"/>
        <v>9</v>
      </c>
      <c r="V16" s="96">
        <f t="shared" si="6"/>
        <v>30</v>
      </c>
      <c r="W16" s="136">
        <f t="shared" si="7"/>
        <v>3</v>
      </c>
      <c r="X16" s="137">
        <f t="shared" si="8"/>
        <v>3.3333333333333335</v>
      </c>
    </row>
    <row r="17" spans="1:24" ht="15">
      <c r="A17" s="10"/>
      <c r="B17" s="6" t="s">
        <v>17</v>
      </c>
      <c r="C17" s="5" t="s">
        <v>18</v>
      </c>
      <c r="D17" s="218"/>
      <c r="E17" s="218"/>
      <c r="K17" s="20"/>
      <c r="L17" s="188"/>
      <c r="N17" s="141"/>
      <c r="O17" s="108">
        <f t="shared" si="0"/>
        <v>8</v>
      </c>
      <c r="P17" s="94">
        <f>B220</f>
        <v>8</v>
      </c>
      <c r="Q17" s="94">
        <f>B218</f>
        <v>1</v>
      </c>
      <c r="R17" s="94">
        <f>B228</f>
        <v>1</v>
      </c>
      <c r="S17" s="94">
        <f>C228</f>
        <v>42</v>
      </c>
      <c r="T17" s="94">
        <f>B222</f>
        <v>1</v>
      </c>
      <c r="U17" s="95">
        <f t="shared" si="5"/>
        <v>7</v>
      </c>
      <c r="V17" s="96">
        <f t="shared" si="6"/>
        <v>42</v>
      </c>
      <c r="W17" s="136">
        <f t="shared" si="7"/>
        <v>5.25</v>
      </c>
      <c r="X17" s="137">
        <f t="shared" si="8"/>
        <v>6</v>
      </c>
    </row>
    <row r="18" spans="1:24" ht="15">
      <c r="A18" s="6" t="s">
        <v>16</v>
      </c>
      <c r="B18" s="9">
        <v>1</v>
      </c>
      <c r="C18" s="212">
        <v>40</v>
      </c>
      <c r="D18" s="218"/>
      <c r="E18" s="218"/>
      <c r="K18" s="20" t="str">
        <f>'Summary Sheet'!C18</f>
        <v>Number of Studio Bedspaces (non Accessible)</v>
      </c>
      <c r="L18" s="186">
        <v>0</v>
      </c>
      <c r="N18" s="141"/>
      <c r="O18" s="108">
        <f t="shared" si="0"/>
        <v>7</v>
      </c>
      <c r="P18" s="94">
        <f>B235</f>
        <v>7</v>
      </c>
      <c r="Q18" s="94">
        <f>B233</f>
        <v>1</v>
      </c>
      <c r="R18" s="94">
        <f>B243</f>
        <v>1</v>
      </c>
      <c r="S18" s="94">
        <f>C243</f>
        <v>34</v>
      </c>
      <c r="T18" s="94">
        <v>0</v>
      </c>
      <c r="U18" s="95">
        <f t="shared" si="5"/>
        <v>7</v>
      </c>
      <c r="V18" s="96">
        <f t="shared" si="6"/>
        <v>34</v>
      </c>
      <c r="W18" s="136">
        <f t="shared" si="7"/>
        <v>4.857142857142857</v>
      </c>
      <c r="X18" s="137">
        <f t="shared" si="8"/>
        <v>4.857142857142857</v>
      </c>
    </row>
    <row r="19" spans="1:24" ht="15">
      <c r="A19" s="6" t="s">
        <v>15</v>
      </c>
      <c r="B19" s="9"/>
      <c r="C19" s="212"/>
      <c r="D19" s="218"/>
      <c r="E19" s="218"/>
      <c r="K19" s="20" t="str">
        <f>'Summary Sheet'!C19</f>
        <v>Total Area of Studio Bedspace (non Accessible)</v>
      </c>
      <c r="L19" s="186">
        <v>0</v>
      </c>
      <c r="N19" s="141"/>
      <c r="O19" s="108"/>
      <c r="P19" s="94"/>
      <c r="Q19" s="94"/>
      <c r="R19" s="94"/>
      <c r="S19" s="94"/>
      <c r="T19" s="94"/>
      <c r="U19" s="95"/>
      <c r="V19" s="96"/>
      <c r="W19" s="136"/>
      <c r="X19" s="137"/>
    </row>
    <row r="20" spans="11:24" ht="15">
      <c r="K20" s="20" t="str">
        <f>'Summary Sheet'!C20</f>
        <v>Average Size of Studio Bedspaces (non Accessible)</v>
      </c>
      <c r="L20" s="189">
        <v>0</v>
      </c>
      <c r="N20" s="141"/>
      <c r="O20" s="108"/>
      <c r="P20" s="94"/>
      <c r="Q20" s="94"/>
      <c r="R20" s="94"/>
      <c r="S20" s="94"/>
      <c r="T20" s="94"/>
      <c r="U20" s="95"/>
      <c r="V20" s="96"/>
      <c r="W20" s="136"/>
      <c r="X20" s="137"/>
    </row>
    <row r="21" spans="11:24" ht="15">
      <c r="K21" s="20"/>
      <c r="L21" s="182"/>
      <c r="N21" s="141"/>
      <c r="O21" s="108"/>
      <c r="P21" s="94"/>
      <c r="Q21" s="94"/>
      <c r="R21" s="94"/>
      <c r="S21" s="94"/>
      <c r="T21" s="94"/>
      <c r="U21" s="95"/>
      <c r="V21" s="96"/>
      <c r="W21" s="136"/>
      <c r="X21" s="137"/>
    </row>
    <row r="22" spans="1:24" ht="15">
      <c r="A22" s="28" t="s">
        <v>7</v>
      </c>
      <c r="B22" s="6" t="s">
        <v>17</v>
      </c>
      <c r="C22" s="211"/>
      <c r="D22" s="218"/>
      <c r="E22" s="218"/>
      <c r="K22" s="6" t="str">
        <f>'Summary Sheet'!C24</f>
        <v>Total Number of Bedrooms Inc Accessible</v>
      </c>
      <c r="L22" s="6">
        <f>L10+B12+B42+B117+B162+B177+B208+B222</f>
        <v>205</v>
      </c>
      <c r="N22" s="141"/>
      <c r="O22" s="108"/>
      <c r="P22" s="94"/>
      <c r="Q22" s="94"/>
      <c r="R22" s="94"/>
      <c r="S22" s="94"/>
      <c r="T22" s="94"/>
      <c r="U22" s="95"/>
      <c r="V22" s="96"/>
      <c r="W22" s="136"/>
      <c r="X22" s="137"/>
    </row>
    <row r="23" spans="1:24" ht="15">
      <c r="A23" s="8" t="s">
        <v>107</v>
      </c>
      <c r="B23" s="9">
        <v>1</v>
      </c>
      <c r="C23" s="211"/>
      <c r="D23" s="218"/>
      <c r="E23" s="218"/>
      <c r="K23" s="6" t="str">
        <f>'Summary Sheet'!C26</f>
        <v>Number of Accessible Bedrooms</v>
      </c>
      <c r="L23" s="6">
        <f>L22-L10</f>
        <v>7</v>
      </c>
      <c r="N23" s="141"/>
      <c r="O23" s="108"/>
      <c r="P23" s="94"/>
      <c r="Q23" s="94"/>
      <c r="R23" s="94"/>
      <c r="S23" s="94"/>
      <c r="T23" s="94"/>
      <c r="U23" s="95"/>
      <c r="V23" s="96"/>
      <c r="W23" s="136"/>
      <c r="X23" s="137"/>
    </row>
    <row r="24" spans="1:24" ht="15">
      <c r="A24" s="10"/>
      <c r="B24" s="6" t="s">
        <v>17</v>
      </c>
      <c r="C24" s="5" t="s">
        <v>190</v>
      </c>
      <c r="D24" s="219" t="s">
        <v>191</v>
      </c>
      <c r="E24" s="219" t="s">
        <v>34</v>
      </c>
      <c r="K24" s="198" t="str">
        <f>'Summary Sheet'!C27</f>
        <v>Average Size of Accessible Bedroom</v>
      </c>
      <c r="L24" s="204">
        <f>((B12*C12)+(B42*C42)+(B117*C117)+(B162*C162)+(B177*C177)+(B208*C208)+(B222*C222))/L23</f>
        <v>21.285714285714285</v>
      </c>
      <c r="N24" s="141"/>
      <c r="O24" s="108"/>
      <c r="P24" s="94"/>
      <c r="Q24" s="94"/>
      <c r="R24" s="94"/>
      <c r="S24" s="94"/>
      <c r="T24" s="94"/>
      <c r="U24" s="95"/>
      <c r="V24" s="96"/>
      <c r="W24" s="136"/>
      <c r="X24" s="137"/>
    </row>
    <row r="25" spans="1:24" ht="15">
      <c r="A25" s="6" t="s">
        <v>8</v>
      </c>
      <c r="B25" s="9">
        <v>5</v>
      </c>
      <c r="C25" s="212"/>
      <c r="D25" s="9"/>
      <c r="E25" s="9"/>
      <c r="K25" s="201"/>
      <c r="L25" s="202"/>
      <c r="N25" s="141"/>
      <c r="O25" s="108"/>
      <c r="P25" s="94"/>
      <c r="Q25" s="94"/>
      <c r="R25" s="94"/>
      <c r="S25" s="94"/>
      <c r="T25" s="94"/>
      <c r="U25" s="95"/>
      <c r="V25" s="96"/>
      <c r="W25" s="136"/>
      <c r="X25" s="137"/>
    </row>
    <row r="26" spans="1:24" ht="15">
      <c r="A26" s="6" t="s">
        <v>9</v>
      </c>
      <c r="B26" s="9">
        <v>5</v>
      </c>
      <c r="C26" s="212">
        <v>14</v>
      </c>
      <c r="D26" s="9"/>
      <c r="E26" s="9"/>
      <c r="K26" s="15"/>
      <c r="L26" s="200"/>
      <c r="N26" s="141"/>
      <c r="O26" s="108"/>
      <c r="P26" s="94"/>
      <c r="Q26" s="94"/>
      <c r="R26" s="94"/>
      <c r="S26" s="94"/>
      <c r="T26" s="94"/>
      <c r="U26" s="95"/>
      <c r="V26" s="96"/>
      <c r="W26" s="136"/>
      <c r="X26" s="137"/>
    </row>
    <row r="27" spans="1:24" ht="15">
      <c r="A27" s="6" t="s">
        <v>10</v>
      </c>
      <c r="B27" s="9"/>
      <c r="C27" s="212"/>
      <c r="D27" s="9"/>
      <c r="E27" s="9"/>
      <c r="K27" s="12"/>
      <c r="L27" s="12"/>
      <c r="N27" s="141"/>
      <c r="O27" s="108"/>
      <c r="P27" s="94"/>
      <c r="Q27" s="94"/>
      <c r="R27" s="94"/>
      <c r="S27" s="94"/>
      <c r="T27" s="94"/>
      <c r="U27" s="95"/>
      <c r="V27" s="96"/>
      <c r="W27" s="136"/>
      <c r="X27" s="137"/>
    </row>
    <row r="28" spans="1:24" ht="15">
      <c r="A28" s="6" t="s">
        <v>11</v>
      </c>
      <c r="B28" s="9"/>
      <c r="C28" s="212"/>
      <c r="D28" s="9"/>
      <c r="E28" s="9"/>
      <c r="N28" s="141"/>
      <c r="O28" s="108"/>
      <c r="P28" s="94"/>
      <c r="Q28" s="94"/>
      <c r="R28" s="94"/>
      <c r="S28" s="94"/>
      <c r="T28" s="94"/>
      <c r="U28" s="95"/>
      <c r="V28" s="96"/>
      <c r="W28" s="136"/>
      <c r="X28" s="137"/>
    </row>
    <row r="29" spans="1:24" ht="15">
      <c r="A29" s="6" t="s">
        <v>12</v>
      </c>
      <c r="B29" s="9"/>
      <c r="C29" s="212"/>
      <c r="D29" s="9"/>
      <c r="E29" s="9"/>
      <c r="N29" s="141"/>
      <c r="O29" s="108"/>
      <c r="P29" s="94"/>
      <c r="Q29" s="94"/>
      <c r="R29" s="94"/>
      <c r="S29" s="94"/>
      <c r="T29" s="94"/>
      <c r="U29" s="95"/>
      <c r="V29" s="96"/>
      <c r="W29" s="136"/>
      <c r="X29" s="137"/>
    </row>
    <row r="30" spans="1:24" ht="15">
      <c r="A30" s="6" t="s">
        <v>13</v>
      </c>
      <c r="B30" s="9"/>
      <c r="C30" s="212"/>
      <c r="D30" s="9"/>
      <c r="E30" s="9"/>
      <c r="N30" s="141"/>
      <c r="O30" s="108"/>
      <c r="P30" s="94"/>
      <c r="Q30" s="94"/>
      <c r="R30" s="94"/>
      <c r="S30" s="94"/>
      <c r="T30" s="94"/>
      <c r="U30" s="95"/>
      <c r="V30" s="96"/>
      <c r="W30" s="136"/>
      <c r="X30" s="137"/>
    </row>
    <row r="31" spans="1:24" ht="15">
      <c r="A31" s="6" t="s">
        <v>14</v>
      </c>
      <c r="B31" s="9"/>
      <c r="C31" s="212"/>
      <c r="D31" s="9"/>
      <c r="E31" s="9"/>
      <c r="N31" s="141"/>
      <c r="O31" s="108"/>
      <c r="P31" s="94"/>
      <c r="Q31" s="94"/>
      <c r="R31" s="94"/>
      <c r="S31" s="94"/>
      <c r="T31" s="94"/>
      <c r="U31" s="95"/>
      <c r="V31" s="96"/>
      <c r="W31" s="136"/>
      <c r="X31" s="137"/>
    </row>
    <row r="32" spans="1:24" ht="15">
      <c r="A32" s="10"/>
      <c r="B32" s="6" t="s">
        <v>17</v>
      </c>
      <c r="C32" s="5" t="s">
        <v>18</v>
      </c>
      <c r="D32" s="218"/>
      <c r="E32" s="218"/>
      <c r="N32" s="141"/>
      <c r="O32" s="108"/>
      <c r="P32" s="94"/>
      <c r="Q32" s="94"/>
      <c r="R32" s="94"/>
      <c r="S32" s="94"/>
      <c r="T32" s="94"/>
      <c r="U32" s="95"/>
      <c r="V32" s="96"/>
      <c r="W32" s="136"/>
      <c r="X32" s="137"/>
    </row>
    <row r="33" spans="1:24" ht="15">
      <c r="A33" s="6" t="s">
        <v>16</v>
      </c>
      <c r="B33" s="9">
        <v>1</v>
      </c>
      <c r="C33" s="212">
        <v>28</v>
      </c>
      <c r="D33" s="218"/>
      <c r="E33" s="218"/>
      <c r="N33" s="141"/>
      <c r="O33" s="108"/>
      <c r="P33" s="94"/>
      <c r="Q33" s="94"/>
      <c r="R33" s="94"/>
      <c r="S33" s="94"/>
      <c r="T33" s="94"/>
      <c r="U33" s="95"/>
      <c r="V33" s="96"/>
      <c r="W33" s="136"/>
      <c r="X33" s="137"/>
    </row>
    <row r="34" spans="1:24" ht="15">
      <c r="A34" s="6" t="s">
        <v>15</v>
      </c>
      <c r="B34" s="9"/>
      <c r="C34" s="212"/>
      <c r="D34" s="218"/>
      <c r="E34" s="218"/>
      <c r="N34" s="141"/>
      <c r="O34" s="108"/>
      <c r="P34" s="94"/>
      <c r="Q34" s="94"/>
      <c r="R34" s="94"/>
      <c r="S34" s="94"/>
      <c r="T34" s="94"/>
      <c r="U34" s="95"/>
      <c r="V34" s="96"/>
      <c r="W34" s="136"/>
      <c r="X34" s="137"/>
    </row>
    <row r="35" spans="14:24" ht="15.75" thickBot="1">
      <c r="N35" s="144"/>
      <c r="O35" s="125"/>
      <c r="P35" s="97"/>
      <c r="Q35" s="97"/>
      <c r="R35" s="97"/>
      <c r="S35" s="97"/>
      <c r="T35" s="97"/>
      <c r="U35" s="116"/>
      <c r="V35" s="117"/>
      <c r="W35" s="138"/>
      <c r="X35" s="139"/>
    </row>
    <row r="36" ht="15.75" thickBot="1"/>
    <row r="37" spans="1:24" ht="15">
      <c r="A37" s="28" t="s">
        <v>7</v>
      </c>
      <c r="B37" s="6" t="s">
        <v>17</v>
      </c>
      <c r="C37" s="211"/>
      <c r="D37" s="218"/>
      <c r="E37" s="218"/>
      <c r="N37" s="131">
        <f>'Summary Sheet'!D34</f>
        <v>3</v>
      </c>
      <c r="O37" s="153"/>
      <c r="P37" s="145">
        <f>SUMIF($O$3:$O$35,$N37,P$3:P$35)</f>
        <v>0</v>
      </c>
      <c r="Q37" s="145">
        <f>SUMIF($O$3:$O$35,$N37,Q$3:Q$35)</f>
        <v>0</v>
      </c>
      <c r="R37" s="145">
        <f aca="true" t="shared" si="9" ref="R37:V44">SUMIF($O$3:$O$35,$N37,R$3:R$35)</f>
        <v>0</v>
      </c>
      <c r="S37" s="145">
        <f t="shared" si="9"/>
        <v>0</v>
      </c>
      <c r="T37" s="145">
        <f t="shared" si="9"/>
        <v>0</v>
      </c>
      <c r="U37" s="145">
        <f t="shared" si="9"/>
        <v>0</v>
      </c>
      <c r="V37" s="146">
        <f t="shared" si="9"/>
        <v>0</v>
      </c>
      <c r="W37" s="147">
        <f>_xlfn.IFERROR(V37/P37,"")</f>
      </c>
      <c r="X37" s="148">
        <f>_xlfn.IFERROR(V37/U37,"")</f>
      </c>
    </row>
    <row r="38" spans="1:24" ht="15">
      <c r="A38" s="8" t="s">
        <v>108</v>
      </c>
      <c r="B38" s="9">
        <v>1</v>
      </c>
      <c r="C38" s="211"/>
      <c r="D38" s="218"/>
      <c r="E38" s="218"/>
      <c r="N38" s="132">
        <f>'Summary Sheet'!D35</f>
        <v>4</v>
      </c>
      <c r="O38" s="154"/>
      <c r="P38" s="96">
        <f>SUMIF($O$3:O36,N38,$P$3:$P$35)</f>
        <v>0</v>
      </c>
      <c r="Q38" s="96">
        <f aca="true" t="shared" si="10" ref="Q38:Q44">SUMIF($O$3:$O$35,$N38,Q$3:Q$35)</f>
        <v>0</v>
      </c>
      <c r="R38" s="96">
        <f t="shared" si="9"/>
        <v>0</v>
      </c>
      <c r="S38" s="96">
        <f t="shared" si="9"/>
        <v>0</v>
      </c>
      <c r="T38" s="96">
        <f t="shared" si="9"/>
        <v>0</v>
      </c>
      <c r="U38" s="96">
        <f t="shared" si="9"/>
        <v>0</v>
      </c>
      <c r="V38" s="149">
        <f t="shared" si="9"/>
        <v>0</v>
      </c>
      <c r="W38" s="150">
        <f aca="true" t="shared" si="11" ref="W38:W44">_xlfn.IFERROR(V38/P38,"")</f>
      </c>
      <c r="X38" s="137">
        <f aca="true" t="shared" si="12" ref="X38:X44">_xlfn.IFERROR(V38/U38,"")</f>
      </c>
    </row>
    <row r="39" spans="1:24" ht="15">
      <c r="A39" s="10"/>
      <c r="B39" s="6" t="s">
        <v>17</v>
      </c>
      <c r="C39" s="5" t="s">
        <v>190</v>
      </c>
      <c r="D39" s="219" t="s">
        <v>191</v>
      </c>
      <c r="E39" s="219" t="s">
        <v>34</v>
      </c>
      <c r="N39" s="132">
        <f>'Summary Sheet'!D36</f>
        <v>5</v>
      </c>
      <c r="O39" s="154"/>
      <c r="P39" s="96">
        <f>SUMIF($O$3:O37,N39,$P$3:$P$35)</f>
        <v>70</v>
      </c>
      <c r="Q39" s="96">
        <f t="shared" si="10"/>
        <v>14</v>
      </c>
      <c r="R39" s="96">
        <f t="shared" si="9"/>
        <v>14</v>
      </c>
      <c r="S39" s="96">
        <f t="shared" si="9"/>
        <v>114</v>
      </c>
      <c r="T39" s="96">
        <f t="shared" si="9"/>
        <v>1</v>
      </c>
      <c r="U39" s="96">
        <f t="shared" si="9"/>
        <v>69</v>
      </c>
      <c r="V39" s="149">
        <f t="shared" si="9"/>
        <v>400</v>
      </c>
      <c r="W39" s="150">
        <f t="shared" si="11"/>
        <v>5.714285714285714</v>
      </c>
      <c r="X39" s="137">
        <f t="shared" si="12"/>
        <v>5.797101449275362</v>
      </c>
    </row>
    <row r="40" spans="1:24" ht="15">
      <c r="A40" s="6" t="s">
        <v>8</v>
      </c>
      <c r="B40" s="9">
        <v>5</v>
      </c>
      <c r="C40" s="212"/>
      <c r="D40" s="9"/>
      <c r="E40" s="9"/>
      <c r="N40" s="132">
        <f>'Summary Sheet'!D37</f>
        <v>6</v>
      </c>
      <c r="O40" s="154"/>
      <c r="P40" s="96">
        <f>SUMIF($O$3:O38,N40,$P$3:$P$35)</f>
        <v>6</v>
      </c>
      <c r="Q40" s="96">
        <f t="shared" si="10"/>
        <v>1</v>
      </c>
      <c r="R40" s="96">
        <f t="shared" si="9"/>
        <v>1</v>
      </c>
      <c r="S40" s="96">
        <f t="shared" si="9"/>
        <v>28</v>
      </c>
      <c r="T40" s="96">
        <f t="shared" si="9"/>
        <v>1</v>
      </c>
      <c r="U40" s="96">
        <f t="shared" si="9"/>
        <v>5</v>
      </c>
      <c r="V40" s="149">
        <f t="shared" si="9"/>
        <v>28</v>
      </c>
      <c r="W40" s="150">
        <f t="shared" si="11"/>
        <v>4.666666666666667</v>
      </c>
      <c r="X40" s="137">
        <f t="shared" si="12"/>
        <v>5.6</v>
      </c>
    </row>
    <row r="41" spans="1:24" ht="15">
      <c r="A41" s="6" t="s">
        <v>9</v>
      </c>
      <c r="B41" s="9">
        <v>4</v>
      </c>
      <c r="C41" s="212">
        <v>14</v>
      </c>
      <c r="D41" s="9"/>
      <c r="E41" s="9"/>
      <c r="N41" s="132">
        <f>'Summary Sheet'!D38</f>
        <v>7</v>
      </c>
      <c r="O41" s="154"/>
      <c r="P41" s="96">
        <f>SUMIF($O$3:O39,N41,$P$3:$P$35)</f>
        <v>63</v>
      </c>
      <c r="Q41" s="96">
        <f t="shared" si="10"/>
        <v>9</v>
      </c>
      <c r="R41" s="96">
        <f t="shared" si="9"/>
        <v>9</v>
      </c>
      <c r="S41" s="96">
        <f t="shared" si="9"/>
        <v>201</v>
      </c>
      <c r="T41" s="96">
        <f t="shared" si="9"/>
        <v>1</v>
      </c>
      <c r="U41" s="96">
        <f t="shared" si="9"/>
        <v>62</v>
      </c>
      <c r="V41" s="149">
        <f t="shared" si="9"/>
        <v>306</v>
      </c>
      <c r="W41" s="150">
        <f t="shared" si="11"/>
        <v>4.857142857142857</v>
      </c>
      <c r="X41" s="137">
        <f t="shared" si="12"/>
        <v>4.935483870967742</v>
      </c>
    </row>
    <row r="42" spans="1:24" ht="15">
      <c r="A42" s="6" t="s">
        <v>10</v>
      </c>
      <c r="B42" s="9">
        <v>1</v>
      </c>
      <c r="C42" s="212">
        <v>24</v>
      </c>
      <c r="D42" s="9"/>
      <c r="E42" s="9" t="s">
        <v>35</v>
      </c>
      <c r="N42" s="132">
        <f>'Summary Sheet'!D39</f>
        <v>8</v>
      </c>
      <c r="O42" s="154"/>
      <c r="P42" s="96">
        <f>SUMIF($O$3:O40,N42,$P$3:$P$35)</f>
        <v>56</v>
      </c>
      <c r="Q42" s="96">
        <f t="shared" si="10"/>
        <v>7</v>
      </c>
      <c r="R42" s="96">
        <f t="shared" si="9"/>
        <v>4</v>
      </c>
      <c r="S42" s="96">
        <f t="shared" si="9"/>
        <v>168</v>
      </c>
      <c r="T42" s="96">
        <f t="shared" si="9"/>
        <v>3</v>
      </c>
      <c r="U42" s="96">
        <f t="shared" si="9"/>
        <v>53</v>
      </c>
      <c r="V42" s="149">
        <f t="shared" si="9"/>
        <v>168</v>
      </c>
      <c r="W42" s="150">
        <f t="shared" si="11"/>
        <v>3</v>
      </c>
      <c r="X42" s="137">
        <f t="shared" si="12"/>
        <v>3.169811320754717</v>
      </c>
    </row>
    <row r="43" spans="1:24" ht="15">
      <c r="A43" s="6" t="s">
        <v>11</v>
      </c>
      <c r="B43" s="9"/>
      <c r="C43" s="212"/>
      <c r="D43" s="9"/>
      <c r="E43" s="9"/>
      <c r="N43" s="132">
        <f>'Summary Sheet'!D40</f>
        <v>9</v>
      </c>
      <c r="O43" s="154"/>
      <c r="P43" s="96">
        <f>SUMIF($O$3:O41,N43,$P$3:$P$35)</f>
        <v>0</v>
      </c>
      <c r="Q43" s="96">
        <f t="shared" si="10"/>
        <v>0</v>
      </c>
      <c r="R43" s="96">
        <f t="shared" si="9"/>
        <v>0</v>
      </c>
      <c r="S43" s="96">
        <f t="shared" si="9"/>
        <v>0</v>
      </c>
      <c r="T43" s="96">
        <f t="shared" si="9"/>
        <v>0</v>
      </c>
      <c r="U43" s="96">
        <f t="shared" si="9"/>
        <v>0</v>
      </c>
      <c r="V43" s="149">
        <f t="shared" si="9"/>
        <v>0</v>
      </c>
      <c r="W43" s="150">
        <f t="shared" si="11"/>
      </c>
      <c r="X43" s="137">
        <f t="shared" si="12"/>
      </c>
    </row>
    <row r="44" spans="1:24" ht="15.75" thickBot="1">
      <c r="A44" s="6" t="s">
        <v>12</v>
      </c>
      <c r="B44" s="9"/>
      <c r="C44" s="212"/>
      <c r="D44" s="9"/>
      <c r="E44" s="9"/>
      <c r="N44" s="133">
        <f>'Summary Sheet'!D41</f>
        <v>10</v>
      </c>
      <c r="O44" s="155"/>
      <c r="P44" s="117">
        <f>SUMIF($O$3:O42,N44,$P$3:$P$35)</f>
        <v>10</v>
      </c>
      <c r="Q44" s="117">
        <f t="shared" si="10"/>
        <v>1</v>
      </c>
      <c r="R44" s="117">
        <f t="shared" si="9"/>
        <v>1</v>
      </c>
      <c r="S44" s="117">
        <f t="shared" si="9"/>
        <v>30</v>
      </c>
      <c r="T44" s="117">
        <f t="shared" si="9"/>
        <v>1</v>
      </c>
      <c r="U44" s="117">
        <f t="shared" si="9"/>
        <v>9</v>
      </c>
      <c r="V44" s="151">
        <f t="shared" si="9"/>
        <v>30</v>
      </c>
      <c r="W44" s="152">
        <f t="shared" si="11"/>
        <v>3</v>
      </c>
      <c r="X44" s="139">
        <f t="shared" si="12"/>
        <v>3.3333333333333335</v>
      </c>
    </row>
    <row r="45" spans="1:5" ht="15">
      <c r="A45" s="6" t="s">
        <v>13</v>
      </c>
      <c r="B45" s="9"/>
      <c r="C45" s="212"/>
      <c r="D45" s="9"/>
      <c r="E45" s="9"/>
    </row>
    <row r="46" spans="1:5" ht="15">
      <c r="A46" s="6" t="s">
        <v>14</v>
      </c>
      <c r="B46" s="9"/>
      <c r="C46" s="212"/>
      <c r="D46" s="9"/>
      <c r="E46" s="9"/>
    </row>
    <row r="47" spans="1:5" ht="15">
      <c r="A47" s="10"/>
      <c r="B47" s="6" t="s">
        <v>17</v>
      </c>
      <c r="C47" s="5" t="s">
        <v>18</v>
      </c>
      <c r="D47" s="218"/>
      <c r="E47" s="218"/>
    </row>
    <row r="48" spans="1:5" ht="15">
      <c r="A48" s="6" t="s">
        <v>16</v>
      </c>
      <c r="B48" s="9">
        <v>1</v>
      </c>
      <c r="C48" s="212">
        <v>28</v>
      </c>
      <c r="D48" s="218"/>
      <c r="E48" s="218"/>
    </row>
    <row r="49" spans="1:5" ht="15">
      <c r="A49" s="6" t="s">
        <v>15</v>
      </c>
      <c r="B49" s="9"/>
      <c r="C49" s="212"/>
      <c r="D49" s="218"/>
      <c r="E49" s="218"/>
    </row>
    <row r="52" spans="1:5" ht="15">
      <c r="A52" s="28" t="s">
        <v>7</v>
      </c>
      <c r="B52" s="6" t="s">
        <v>17</v>
      </c>
      <c r="C52" s="211"/>
      <c r="D52" s="218"/>
      <c r="E52" s="218"/>
    </row>
    <row r="53" spans="1:5" ht="15">
      <c r="A53" s="8" t="s">
        <v>109</v>
      </c>
      <c r="B53" s="9">
        <v>4</v>
      </c>
      <c r="C53" s="211"/>
      <c r="D53" s="218"/>
      <c r="E53" s="218"/>
    </row>
    <row r="54" spans="1:5" ht="15">
      <c r="A54" s="10"/>
      <c r="B54" s="6" t="s">
        <v>17</v>
      </c>
      <c r="C54" s="5" t="s">
        <v>190</v>
      </c>
      <c r="D54" s="219" t="s">
        <v>191</v>
      </c>
      <c r="E54" s="219" t="s">
        <v>34</v>
      </c>
    </row>
    <row r="55" spans="1:5" ht="15">
      <c r="A55" s="6" t="s">
        <v>8</v>
      </c>
      <c r="B55" s="9">
        <v>32</v>
      </c>
      <c r="C55" s="212"/>
      <c r="D55" s="9"/>
      <c r="E55" s="9"/>
    </row>
    <row r="56" spans="1:5" ht="15">
      <c r="A56" s="6" t="s">
        <v>9</v>
      </c>
      <c r="B56" s="9">
        <v>28</v>
      </c>
      <c r="C56" s="212">
        <v>13</v>
      </c>
      <c r="D56" s="9"/>
      <c r="E56" s="9"/>
    </row>
    <row r="57" spans="1:5" ht="15">
      <c r="A57" s="6" t="s">
        <v>10</v>
      </c>
      <c r="B57" s="9">
        <v>4</v>
      </c>
      <c r="C57" s="212">
        <v>21</v>
      </c>
      <c r="D57" s="9"/>
      <c r="E57" s="9"/>
    </row>
    <row r="58" spans="1:5" ht="15">
      <c r="A58" s="6" t="s">
        <v>11</v>
      </c>
      <c r="B58" s="9"/>
      <c r="C58" s="212"/>
      <c r="D58" s="9"/>
      <c r="E58" s="9"/>
    </row>
    <row r="59" spans="1:5" ht="15">
      <c r="A59" s="6" t="s">
        <v>12</v>
      </c>
      <c r="B59" s="9"/>
      <c r="C59" s="212"/>
      <c r="D59" s="9"/>
      <c r="E59" s="9"/>
    </row>
    <row r="60" spans="1:5" ht="15">
      <c r="A60" s="6" t="s">
        <v>13</v>
      </c>
      <c r="B60" s="9"/>
      <c r="C60" s="212"/>
      <c r="D60" s="9"/>
      <c r="E60" s="9"/>
    </row>
    <row r="61" spans="1:5" ht="15">
      <c r="A61" s="6" t="s">
        <v>14</v>
      </c>
      <c r="B61" s="9"/>
      <c r="C61" s="212"/>
      <c r="D61" s="9"/>
      <c r="E61" s="9"/>
    </row>
    <row r="62" spans="1:5" ht="15">
      <c r="A62" s="10"/>
      <c r="B62" s="6" t="s">
        <v>17</v>
      </c>
      <c r="C62" s="5" t="s">
        <v>18</v>
      </c>
      <c r="D62" s="218"/>
      <c r="E62" s="218"/>
    </row>
    <row r="63" spans="1:5" ht="15">
      <c r="A63" s="6" t="s">
        <v>16</v>
      </c>
      <c r="B63" s="9">
        <v>4</v>
      </c>
      <c r="C63" s="212">
        <v>42</v>
      </c>
      <c r="D63" s="218"/>
      <c r="E63" s="218"/>
    </row>
    <row r="64" spans="1:5" ht="15">
      <c r="A64" s="6" t="s">
        <v>15</v>
      </c>
      <c r="B64" s="9"/>
      <c r="C64" s="212"/>
      <c r="D64" s="218"/>
      <c r="E64" s="218"/>
    </row>
    <row r="67" spans="1:5" ht="15">
      <c r="A67" s="28" t="s">
        <v>7</v>
      </c>
      <c r="B67" s="6" t="s">
        <v>17</v>
      </c>
      <c r="C67" s="211"/>
      <c r="D67" s="218"/>
      <c r="E67" s="218"/>
    </row>
    <row r="68" spans="1:5" ht="15">
      <c r="A68" s="8" t="s">
        <v>110</v>
      </c>
      <c r="B68" s="9">
        <v>4</v>
      </c>
      <c r="C68" s="211"/>
      <c r="D68" s="218"/>
      <c r="E68" s="218"/>
    </row>
    <row r="69" spans="1:5" ht="15">
      <c r="A69" s="10"/>
      <c r="B69" s="6" t="s">
        <v>17</v>
      </c>
      <c r="C69" s="5" t="s">
        <v>190</v>
      </c>
      <c r="D69" s="219" t="s">
        <v>191</v>
      </c>
      <c r="E69" s="219" t="s">
        <v>34</v>
      </c>
    </row>
    <row r="70" spans="1:5" ht="15">
      <c r="A70" s="6" t="s">
        <v>8</v>
      </c>
      <c r="B70" s="9">
        <v>28</v>
      </c>
      <c r="C70" s="212"/>
      <c r="D70" s="9"/>
      <c r="E70" s="9"/>
    </row>
    <row r="71" spans="1:5" ht="15">
      <c r="A71" s="6" t="s">
        <v>9</v>
      </c>
      <c r="B71" s="9">
        <v>28</v>
      </c>
      <c r="C71" s="212">
        <v>13</v>
      </c>
      <c r="D71" s="9"/>
      <c r="E71" s="9"/>
    </row>
    <row r="72" spans="1:5" ht="15">
      <c r="A72" s="6" t="s">
        <v>10</v>
      </c>
      <c r="B72" s="9"/>
      <c r="C72" s="212"/>
      <c r="D72" s="9"/>
      <c r="E72" s="9"/>
    </row>
    <row r="73" spans="1:5" ht="15">
      <c r="A73" s="6" t="s">
        <v>11</v>
      </c>
      <c r="B73" s="9"/>
      <c r="C73" s="212"/>
      <c r="D73" s="9"/>
      <c r="E73" s="9"/>
    </row>
    <row r="74" spans="1:5" ht="15">
      <c r="A74" s="6" t="s">
        <v>12</v>
      </c>
      <c r="B74" s="9"/>
      <c r="C74" s="212"/>
      <c r="D74" s="9"/>
      <c r="E74" s="9"/>
    </row>
    <row r="75" spans="1:5" ht="15">
      <c r="A75" s="6" t="s">
        <v>13</v>
      </c>
      <c r="B75" s="9"/>
      <c r="C75" s="212"/>
      <c r="D75" s="9"/>
      <c r="E75" s="9"/>
    </row>
    <row r="76" spans="1:5" ht="15">
      <c r="A76" s="6" t="s">
        <v>14</v>
      </c>
      <c r="B76" s="9"/>
      <c r="C76" s="212"/>
      <c r="D76" s="9"/>
      <c r="E76" s="9"/>
    </row>
    <row r="77" spans="1:5" ht="15">
      <c r="A77" s="10"/>
      <c r="B77" s="6" t="s">
        <v>17</v>
      </c>
      <c r="C77" s="5" t="s">
        <v>18</v>
      </c>
      <c r="D77" s="218"/>
      <c r="E77" s="218"/>
    </row>
    <row r="78" spans="1:5" ht="15">
      <c r="A78" s="6" t="s">
        <v>16</v>
      </c>
      <c r="B78" s="9">
        <v>4</v>
      </c>
      <c r="C78" s="212">
        <v>35</v>
      </c>
      <c r="D78" s="218"/>
      <c r="E78" s="218"/>
    </row>
    <row r="79" spans="1:5" ht="15">
      <c r="A79" s="6" t="s">
        <v>15</v>
      </c>
      <c r="B79" s="9"/>
      <c r="C79" s="212"/>
      <c r="D79" s="218"/>
      <c r="E79" s="218"/>
    </row>
    <row r="82" spans="1:5" ht="15">
      <c r="A82" s="28" t="s">
        <v>7</v>
      </c>
      <c r="B82" s="6" t="s">
        <v>17</v>
      </c>
      <c r="C82" s="211"/>
      <c r="D82" s="218"/>
      <c r="E82" s="218"/>
    </row>
    <row r="83" spans="1:5" ht="15">
      <c r="A83" s="8" t="s">
        <v>111</v>
      </c>
      <c r="B83" s="9">
        <v>4</v>
      </c>
      <c r="C83" s="211"/>
      <c r="D83" s="218"/>
      <c r="E83" s="218"/>
    </row>
    <row r="84" spans="1:5" ht="15">
      <c r="A84" s="10"/>
      <c r="B84" s="6" t="s">
        <v>17</v>
      </c>
      <c r="C84" s="5" t="s">
        <v>190</v>
      </c>
      <c r="D84" s="219" t="s">
        <v>191</v>
      </c>
      <c r="E84" s="219" t="s">
        <v>34</v>
      </c>
    </row>
    <row r="85" spans="1:5" ht="15">
      <c r="A85" s="6" t="s">
        <v>8</v>
      </c>
      <c r="B85" s="9">
        <v>20</v>
      </c>
      <c r="C85" s="212"/>
      <c r="D85" s="9"/>
      <c r="E85" s="9"/>
    </row>
    <row r="86" spans="1:5" ht="15">
      <c r="A86" s="6" t="s">
        <v>9</v>
      </c>
      <c r="B86" s="9">
        <v>16</v>
      </c>
      <c r="C86" s="212">
        <v>13</v>
      </c>
      <c r="D86" s="9"/>
      <c r="E86" s="9"/>
    </row>
    <row r="87" spans="1:5" ht="15">
      <c r="A87" s="6" t="s">
        <v>10</v>
      </c>
      <c r="B87" s="9">
        <v>4</v>
      </c>
      <c r="C87" s="212">
        <v>18</v>
      </c>
      <c r="D87" s="9"/>
      <c r="E87" s="9"/>
    </row>
    <row r="88" spans="1:5" ht="15">
      <c r="A88" s="6" t="s">
        <v>11</v>
      </c>
      <c r="B88" s="9"/>
      <c r="C88" s="212"/>
      <c r="D88" s="9"/>
      <c r="E88" s="9"/>
    </row>
    <row r="89" spans="1:5" ht="15">
      <c r="A89" s="6" t="s">
        <v>12</v>
      </c>
      <c r="B89" s="9"/>
      <c r="C89" s="212"/>
      <c r="D89" s="9"/>
      <c r="E89" s="9"/>
    </row>
    <row r="90" spans="1:5" ht="15">
      <c r="A90" s="6" t="s">
        <v>13</v>
      </c>
      <c r="B90" s="9"/>
      <c r="C90" s="212"/>
      <c r="D90" s="9"/>
      <c r="E90" s="9"/>
    </row>
    <row r="91" spans="1:5" ht="15">
      <c r="A91" s="6" t="s">
        <v>14</v>
      </c>
      <c r="B91" s="9"/>
      <c r="C91" s="212"/>
      <c r="D91" s="9"/>
      <c r="E91" s="9"/>
    </row>
    <row r="92" spans="1:5" ht="15">
      <c r="A92" s="10"/>
      <c r="B92" s="6" t="s">
        <v>17</v>
      </c>
      <c r="C92" s="5" t="s">
        <v>18</v>
      </c>
      <c r="D92" s="218"/>
      <c r="E92" s="218"/>
    </row>
    <row r="93" spans="1:5" ht="15">
      <c r="A93" s="6" t="s">
        <v>16</v>
      </c>
      <c r="B93" s="9">
        <v>4</v>
      </c>
      <c r="C93" s="212">
        <v>30</v>
      </c>
      <c r="D93" s="218"/>
      <c r="E93" s="218"/>
    </row>
    <row r="94" spans="1:5" ht="15">
      <c r="A94" s="6" t="s">
        <v>15</v>
      </c>
      <c r="B94" s="9"/>
      <c r="C94" s="212"/>
      <c r="D94" s="218"/>
      <c r="E94" s="218"/>
    </row>
    <row r="97" spans="1:5" ht="15">
      <c r="A97" s="28" t="s">
        <v>7</v>
      </c>
      <c r="B97" s="6" t="s">
        <v>17</v>
      </c>
      <c r="C97" s="211"/>
      <c r="D97" s="218"/>
      <c r="E97" s="218"/>
    </row>
    <row r="98" spans="1:5" ht="15">
      <c r="A98" s="8" t="s">
        <v>112</v>
      </c>
      <c r="B98" s="9">
        <v>8</v>
      </c>
      <c r="C98" s="211"/>
      <c r="D98" s="218"/>
      <c r="E98" s="218"/>
    </row>
    <row r="99" spans="1:5" ht="15">
      <c r="A99" s="10"/>
      <c r="B99" s="6" t="s">
        <v>17</v>
      </c>
      <c r="C99" s="5" t="s">
        <v>190</v>
      </c>
      <c r="D99" s="219" t="s">
        <v>191</v>
      </c>
      <c r="E99" s="219" t="s">
        <v>34</v>
      </c>
    </row>
    <row r="100" spans="1:5" ht="15">
      <c r="A100" s="6" t="s">
        <v>8</v>
      </c>
      <c r="B100" s="9">
        <v>40</v>
      </c>
      <c r="C100" s="212"/>
      <c r="D100" s="9"/>
      <c r="E100" s="9"/>
    </row>
    <row r="101" spans="1:5" ht="15">
      <c r="A101" s="6" t="s">
        <v>9</v>
      </c>
      <c r="B101" s="9">
        <v>40</v>
      </c>
      <c r="C101" s="212">
        <v>13</v>
      </c>
      <c r="D101" s="9"/>
      <c r="E101" s="9"/>
    </row>
    <row r="102" spans="1:5" ht="15">
      <c r="A102" s="6" t="s">
        <v>10</v>
      </c>
      <c r="B102" s="9"/>
      <c r="C102" s="212"/>
      <c r="D102" s="9"/>
      <c r="E102" s="9"/>
    </row>
    <row r="103" spans="1:5" ht="15">
      <c r="A103" s="6" t="s">
        <v>11</v>
      </c>
      <c r="B103" s="9"/>
      <c r="C103" s="212"/>
      <c r="D103" s="9"/>
      <c r="E103" s="9"/>
    </row>
    <row r="104" spans="1:5" ht="15">
      <c r="A104" s="6" t="s">
        <v>12</v>
      </c>
      <c r="B104" s="9"/>
      <c r="C104" s="212"/>
      <c r="D104" s="9"/>
      <c r="E104" s="9"/>
    </row>
    <row r="105" spans="1:5" ht="15">
      <c r="A105" s="6" t="s">
        <v>13</v>
      </c>
      <c r="B105" s="9"/>
      <c r="C105" s="212"/>
      <c r="D105" s="9"/>
      <c r="E105" s="9"/>
    </row>
    <row r="106" spans="1:5" ht="15">
      <c r="A106" s="6" t="s">
        <v>14</v>
      </c>
      <c r="B106" s="9"/>
      <c r="C106" s="212"/>
      <c r="D106" s="9"/>
      <c r="E106" s="9"/>
    </row>
    <row r="107" spans="1:5" ht="15">
      <c r="A107" s="10"/>
      <c r="B107" s="6" t="s">
        <v>17</v>
      </c>
      <c r="C107" s="5" t="s">
        <v>18</v>
      </c>
      <c r="D107" s="218"/>
      <c r="E107" s="218"/>
    </row>
    <row r="108" spans="1:5" ht="15">
      <c r="A108" s="6" t="s">
        <v>16</v>
      </c>
      <c r="B108" s="9">
        <v>8</v>
      </c>
      <c r="C108" s="212">
        <v>28</v>
      </c>
      <c r="D108" s="218"/>
      <c r="E108" s="218"/>
    </row>
    <row r="109" spans="1:5" ht="15">
      <c r="A109" s="6" t="s">
        <v>15</v>
      </c>
      <c r="B109" s="9"/>
      <c r="C109" s="212"/>
      <c r="D109" s="218"/>
      <c r="E109" s="218"/>
    </row>
    <row r="112" spans="1:5" ht="15">
      <c r="A112" s="28" t="s">
        <v>7</v>
      </c>
      <c r="B112" s="6" t="s">
        <v>17</v>
      </c>
      <c r="C112" s="211"/>
      <c r="D112" s="218"/>
      <c r="E112" s="218"/>
    </row>
    <row r="113" spans="1:5" ht="15">
      <c r="A113" s="8" t="s">
        <v>113</v>
      </c>
      <c r="B113" s="9">
        <v>1</v>
      </c>
      <c r="C113" s="211"/>
      <c r="D113" s="218"/>
      <c r="E113" s="218"/>
    </row>
    <row r="114" spans="1:5" ht="15">
      <c r="A114" s="10"/>
      <c r="B114" s="6" t="s">
        <v>17</v>
      </c>
      <c r="C114" s="5" t="s">
        <v>190</v>
      </c>
      <c r="D114" s="219" t="s">
        <v>191</v>
      </c>
      <c r="E114" s="219" t="s">
        <v>34</v>
      </c>
    </row>
    <row r="115" spans="1:5" ht="15">
      <c r="A115" s="6" t="s">
        <v>8</v>
      </c>
      <c r="B115" s="14">
        <v>8</v>
      </c>
      <c r="C115" s="212"/>
      <c r="D115" s="9"/>
      <c r="E115" s="9"/>
    </row>
    <row r="116" spans="1:5" ht="15">
      <c r="A116" s="6" t="s">
        <v>9</v>
      </c>
      <c r="B116" s="9">
        <v>7</v>
      </c>
      <c r="C116" s="212">
        <v>13</v>
      </c>
      <c r="D116" s="9"/>
      <c r="E116" s="9"/>
    </row>
    <row r="117" spans="1:5" ht="15">
      <c r="A117" s="6" t="s">
        <v>10</v>
      </c>
      <c r="B117" s="9">
        <v>1</v>
      </c>
      <c r="C117" s="212">
        <v>21</v>
      </c>
      <c r="D117" s="9"/>
      <c r="E117" s="9" t="s">
        <v>35</v>
      </c>
    </row>
    <row r="118" spans="1:5" ht="15">
      <c r="A118" s="6" t="s">
        <v>11</v>
      </c>
      <c r="B118" s="9"/>
      <c r="C118" s="212"/>
      <c r="D118" s="9"/>
      <c r="E118" s="9"/>
    </row>
    <row r="119" spans="1:5" ht="15">
      <c r="A119" s="6" t="s">
        <v>12</v>
      </c>
      <c r="B119" s="9"/>
      <c r="C119" s="212"/>
      <c r="D119" s="9"/>
      <c r="E119" s="9"/>
    </row>
    <row r="120" spans="1:5" ht="15">
      <c r="A120" s="6" t="s">
        <v>13</v>
      </c>
      <c r="B120" s="9"/>
      <c r="C120" s="212"/>
      <c r="D120" s="9"/>
      <c r="E120" s="9"/>
    </row>
    <row r="121" spans="1:5" ht="15">
      <c r="A121" s="6" t="s">
        <v>14</v>
      </c>
      <c r="B121" s="9"/>
      <c r="C121" s="212"/>
      <c r="D121" s="9"/>
      <c r="E121" s="9"/>
    </row>
    <row r="122" spans="1:5" ht="15">
      <c r="A122" s="10"/>
      <c r="B122" s="6" t="s">
        <v>17</v>
      </c>
      <c r="C122" s="5" t="s">
        <v>18</v>
      </c>
      <c r="D122" s="218"/>
      <c r="E122" s="218"/>
    </row>
    <row r="123" spans="1:5" ht="15">
      <c r="A123" s="6" t="s">
        <v>16</v>
      </c>
      <c r="B123" s="9">
        <v>1</v>
      </c>
      <c r="C123" s="212">
        <v>42</v>
      </c>
      <c r="D123" s="218"/>
      <c r="E123" s="218"/>
    </row>
    <row r="124" spans="1:5" ht="15">
      <c r="A124" s="6" t="s">
        <v>15</v>
      </c>
      <c r="B124" s="9"/>
      <c r="C124" s="212"/>
      <c r="D124" s="218"/>
      <c r="E124" s="218"/>
    </row>
    <row r="127" spans="1:5" ht="15">
      <c r="A127" s="28" t="s">
        <v>7</v>
      </c>
      <c r="B127" s="6" t="s">
        <v>17</v>
      </c>
      <c r="C127" s="211"/>
      <c r="D127" s="218"/>
      <c r="E127" s="218"/>
    </row>
    <row r="128" spans="1:5" ht="15">
      <c r="A128" s="8" t="s">
        <v>114</v>
      </c>
      <c r="B128" s="9">
        <v>1</v>
      </c>
      <c r="C128" s="211"/>
      <c r="D128" s="218"/>
      <c r="E128" s="218"/>
    </row>
    <row r="129" spans="1:5" ht="15">
      <c r="A129" s="10"/>
      <c r="B129" s="6" t="s">
        <v>17</v>
      </c>
      <c r="C129" s="5" t="s">
        <v>190</v>
      </c>
      <c r="D129" s="219" t="s">
        <v>191</v>
      </c>
      <c r="E129" s="219" t="s">
        <v>34</v>
      </c>
    </row>
    <row r="130" spans="1:5" ht="15">
      <c r="A130" s="6" t="s">
        <v>8</v>
      </c>
      <c r="B130" s="9">
        <v>7</v>
      </c>
      <c r="C130" s="212"/>
      <c r="D130" s="9"/>
      <c r="E130" s="9"/>
    </row>
    <row r="131" spans="1:5" ht="15">
      <c r="A131" s="6" t="s">
        <v>9</v>
      </c>
      <c r="B131" s="9">
        <v>7</v>
      </c>
      <c r="C131" s="212">
        <v>13</v>
      </c>
      <c r="D131" s="9"/>
      <c r="E131" s="9"/>
    </row>
    <row r="132" spans="1:5" ht="15">
      <c r="A132" s="6" t="s">
        <v>10</v>
      </c>
      <c r="B132" s="9"/>
      <c r="C132" s="212"/>
      <c r="D132" s="9"/>
      <c r="E132" s="9"/>
    </row>
    <row r="133" spans="1:5" ht="15">
      <c r="A133" s="6" t="s">
        <v>11</v>
      </c>
      <c r="B133" s="9"/>
      <c r="C133" s="212"/>
      <c r="D133" s="9"/>
      <c r="E133" s="9"/>
    </row>
    <row r="134" spans="1:5" ht="15">
      <c r="A134" s="6" t="s">
        <v>12</v>
      </c>
      <c r="B134" s="9"/>
      <c r="C134" s="212"/>
      <c r="D134" s="9"/>
      <c r="E134" s="9"/>
    </row>
    <row r="135" spans="1:5" ht="15">
      <c r="A135" s="6" t="s">
        <v>13</v>
      </c>
      <c r="B135" s="9"/>
      <c r="C135" s="212"/>
      <c r="D135" s="9"/>
      <c r="E135" s="9"/>
    </row>
    <row r="136" spans="1:5" ht="15">
      <c r="A136" s="6" t="s">
        <v>14</v>
      </c>
      <c r="B136" s="9"/>
      <c r="C136" s="212"/>
      <c r="D136" s="9"/>
      <c r="E136" s="9"/>
    </row>
    <row r="137" spans="1:5" ht="15">
      <c r="A137" s="10"/>
      <c r="B137" s="6" t="s">
        <v>17</v>
      </c>
      <c r="C137" s="5" t="s">
        <v>18</v>
      </c>
      <c r="D137" s="218"/>
      <c r="E137" s="218"/>
    </row>
    <row r="138" spans="1:5" ht="15">
      <c r="A138" s="6" t="s">
        <v>16</v>
      </c>
      <c r="B138" s="9">
        <v>1</v>
      </c>
      <c r="C138" s="212">
        <v>34</v>
      </c>
      <c r="D138" s="218"/>
      <c r="E138" s="218"/>
    </row>
    <row r="139" spans="1:5" ht="15">
      <c r="A139" s="6" t="s">
        <v>15</v>
      </c>
      <c r="B139" s="9"/>
      <c r="C139" s="212"/>
      <c r="D139" s="218"/>
      <c r="E139" s="218"/>
    </row>
    <row r="142" spans="1:5" ht="15">
      <c r="A142" s="28" t="s">
        <v>7</v>
      </c>
      <c r="B142" s="6" t="s">
        <v>17</v>
      </c>
      <c r="C142" s="211"/>
      <c r="D142" s="218"/>
      <c r="E142" s="218"/>
    </row>
    <row r="143" spans="1:5" ht="15">
      <c r="A143" s="8" t="s">
        <v>115</v>
      </c>
      <c r="B143" s="9">
        <v>1</v>
      </c>
      <c r="C143" s="211"/>
      <c r="D143" s="218"/>
      <c r="E143" s="218"/>
    </row>
    <row r="144" spans="1:5" ht="15">
      <c r="A144" s="10"/>
      <c r="B144" s="6" t="s">
        <v>17</v>
      </c>
      <c r="C144" s="5" t="s">
        <v>190</v>
      </c>
      <c r="D144" s="219" t="s">
        <v>191</v>
      </c>
      <c r="E144" s="219" t="s">
        <v>34</v>
      </c>
    </row>
    <row r="145" spans="1:5" ht="15">
      <c r="A145" s="6" t="s">
        <v>8</v>
      </c>
      <c r="B145" s="9">
        <v>7</v>
      </c>
      <c r="C145" s="212"/>
      <c r="D145" s="9"/>
      <c r="E145" s="9"/>
    </row>
    <row r="146" spans="1:5" ht="15">
      <c r="A146" s="6" t="s">
        <v>9</v>
      </c>
      <c r="B146" s="9">
        <v>6</v>
      </c>
      <c r="C146" s="212">
        <v>14</v>
      </c>
      <c r="D146" s="9"/>
      <c r="E146" s="9"/>
    </row>
    <row r="147" spans="1:5" ht="15">
      <c r="A147" s="6" t="s">
        <v>10</v>
      </c>
      <c r="B147" s="9">
        <v>1</v>
      </c>
      <c r="C147" s="212">
        <v>18</v>
      </c>
      <c r="D147" s="9"/>
      <c r="E147" s="9"/>
    </row>
    <row r="148" spans="1:5" ht="15">
      <c r="A148" s="6" t="s">
        <v>11</v>
      </c>
      <c r="B148" s="9"/>
      <c r="C148" s="212"/>
      <c r="D148" s="9"/>
      <c r="E148" s="9"/>
    </row>
    <row r="149" spans="1:5" ht="15">
      <c r="A149" s="6" t="s">
        <v>12</v>
      </c>
      <c r="B149" s="9"/>
      <c r="C149" s="212"/>
      <c r="D149" s="9"/>
      <c r="E149" s="9"/>
    </row>
    <row r="150" spans="1:5" ht="15">
      <c r="A150" s="6" t="s">
        <v>13</v>
      </c>
      <c r="B150" s="9"/>
      <c r="C150" s="212"/>
      <c r="D150" s="9"/>
      <c r="E150" s="9"/>
    </row>
    <row r="151" spans="1:5" ht="15">
      <c r="A151" s="6" t="s">
        <v>14</v>
      </c>
      <c r="B151" s="9"/>
      <c r="C151" s="212"/>
      <c r="D151" s="9"/>
      <c r="E151" s="9"/>
    </row>
    <row r="152" spans="1:5" ht="15">
      <c r="A152" s="10"/>
      <c r="B152" s="6" t="s">
        <v>17</v>
      </c>
      <c r="C152" s="5" t="s">
        <v>18</v>
      </c>
      <c r="D152" s="218"/>
      <c r="E152" s="218"/>
    </row>
    <row r="153" spans="1:5" ht="15">
      <c r="A153" s="6" t="s">
        <v>16</v>
      </c>
      <c r="B153" s="9">
        <v>1</v>
      </c>
      <c r="C153" s="212">
        <v>30</v>
      </c>
      <c r="D153" s="218"/>
      <c r="E153" s="218"/>
    </row>
    <row r="154" spans="1:5" ht="15">
      <c r="A154" s="6" t="s">
        <v>15</v>
      </c>
      <c r="B154" s="9"/>
      <c r="C154" s="212"/>
      <c r="D154" s="218"/>
      <c r="E154" s="218"/>
    </row>
    <row r="157" spans="1:5" ht="15">
      <c r="A157" s="28" t="s">
        <v>7</v>
      </c>
      <c r="B157" s="6" t="s">
        <v>17</v>
      </c>
      <c r="C157" s="211"/>
      <c r="D157" s="218"/>
      <c r="E157" s="218"/>
    </row>
    <row r="158" spans="1:5" ht="15">
      <c r="A158" s="8" t="s">
        <v>116</v>
      </c>
      <c r="B158" s="9">
        <v>1</v>
      </c>
      <c r="C158" s="211"/>
      <c r="D158" s="218"/>
      <c r="E158" s="218"/>
    </row>
    <row r="159" spans="1:5" ht="15">
      <c r="A159" s="10"/>
      <c r="B159" s="6" t="s">
        <v>17</v>
      </c>
      <c r="C159" s="5" t="s">
        <v>190</v>
      </c>
      <c r="D159" s="219" t="s">
        <v>191</v>
      </c>
      <c r="E159" s="219" t="s">
        <v>34</v>
      </c>
    </row>
    <row r="160" spans="1:5" ht="15">
      <c r="A160" s="6" t="s">
        <v>8</v>
      </c>
      <c r="B160" s="9">
        <v>6</v>
      </c>
      <c r="C160" s="212"/>
      <c r="D160" s="9"/>
      <c r="E160" s="9"/>
    </row>
    <row r="161" spans="1:5" ht="15">
      <c r="A161" s="6" t="s">
        <v>9</v>
      </c>
      <c r="B161" s="9">
        <v>5</v>
      </c>
      <c r="C161" s="212">
        <v>14</v>
      </c>
      <c r="D161" s="9"/>
      <c r="E161" s="9"/>
    </row>
    <row r="162" spans="1:5" ht="15">
      <c r="A162" s="6" t="s">
        <v>10</v>
      </c>
      <c r="B162" s="9">
        <v>1</v>
      </c>
      <c r="C162" s="212">
        <v>21</v>
      </c>
      <c r="D162" s="9"/>
      <c r="E162" s="9" t="s">
        <v>35</v>
      </c>
    </row>
    <row r="163" spans="1:5" ht="15">
      <c r="A163" s="6" t="s">
        <v>11</v>
      </c>
      <c r="B163" s="9"/>
      <c r="C163" s="212"/>
      <c r="D163" s="9"/>
      <c r="E163" s="9"/>
    </row>
    <row r="164" spans="1:5" ht="15">
      <c r="A164" s="6" t="s">
        <v>12</v>
      </c>
      <c r="B164" s="9"/>
      <c r="C164" s="212"/>
      <c r="D164" s="9"/>
      <c r="E164" s="9"/>
    </row>
    <row r="165" spans="1:5" ht="15">
      <c r="A165" s="6" t="s">
        <v>13</v>
      </c>
      <c r="B165" s="9"/>
      <c r="C165" s="212"/>
      <c r="D165" s="9"/>
      <c r="E165" s="9"/>
    </row>
    <row r="166" spans="1:5" ht="15">
      <c r="A166" s="6" t="s">
        <v>14</v>
      </c>
      <c r="B166" s="9"/>
      <c r="C166" s="212"/>
      <c r="D166" s="9"/>
      <c r="E166" s="9"/>
    </row>
    <row r="167" spans="1:5" ht="15">
      <c r="A167" s="10"/>
      <c r="B167" s="6" t="s">
        <v>17</v>
      </c>
      <c r="C167" s="5" t="s">
        <v>18</v>
      </c>
      <c r="D167" s="218"/>
      <c r="E167" s="218"/>
    </row>
    <row r="168" spans="1:5" ht="15">
      <c r="A168" s="6" t="s">
        <v>16</v>
      </c>
      <c r="B168" s="9">
        <v>1</v>
      </c>
      <c r="C168" s="212">
        <v>28</v>
      </c>
      <c r="D168" s="218"/>
      <c r="E168" s="218"/>
    </row>
    <row r="169" spans="1:5" ht="15">
      <c r="A169" s="6" t="s">
        <v>15</v>
      </c>
      <c r="B169" s="9"/>
      <c r="C169" s="212"/>
      <c r="D169" s="218"/>
      <c r="E169" s="218"/>
    </row>
    <row r="172" spans="1:5" ht="15">
      <c r="A172" s="28" t="s">
        <v>7</v>
      </c>
      <c r="B172" s="6" t="s">
        <v>17</v>
      </c>
      <c r="C172" s="211"/>
      <c r="D172" s="218"/>
      <c r="E172" s="218"/>
    </row>
    <row r="173" spans="1:5" ht="15">
      <c r="A173" s="8" t="s">
        <v>117</v>
      </c>
      <c r="B173" s="9">
        <v>1</v>
      </c>
      <c r="C173" s="211"/>
      <c r="D173" s="218"/>
      <c r="E173" s="218"/>
    </row>
    <row r="174" spans="1:5" ht="15">
      <c r="A174" s="10"/>
      <c r="B174" s="6" t="s">
        <v>17</v>
      </c>
      <c r="C174" s="5" t="s">
        <v>190</v>
      </c>
      <c r="D174" s="219" t="s">
        <v>191</v>
      </c>
      <c r="E174" s="219" t="s">
        <v>34</v>
      </c>
    </row>
    <row r="175" spans="1:5" ht="15">
      <c r="A175" s="6" t="s">
        <v>8</v>
      </c>
      <c r="B175" s="9">
        <v>8</v>
      </c>
      <c r="C175" s="212"/>
      <c r="D175" s="9"/>
      <c r="E175" s="9"/>
    </row>
    <row r="176" spans="1:5" ht="15">
      <c r="A176" s="6" t="s">
        <v>9</v>
      </c>
      <c r="B176" s="9">
        <v>7</v>
      </c>
      <c r="C176" s="212">
        <v>13</v>
      </c>
      <c r="D176" s="9"/>
      <c r="E176" s="9"/>
    </row>
    <row r="177" spans="1:5" ht="15">
      <c r="A177" s="6" t="s">
        <v>10</v>
      </c>
      <c r="B177" s="9">
        <v>1</v>
      </c>
      <c r="C177" s="212">
        <v>21</v>
      </c>
      <c r="D177" s="9"/>
      <c r="E177" s="9" t="s">
        <v>35</v>
      </c>
    </row>
    <row r="178" spans="1:5" ht="15">
      <c r="A178" s="6" t="s">
        <v>11</v>
      </c>
      <c r="B178" s="9"/>
      <c r="C178" s="212"/>
      <c r="D178" s="9"/>
      <c r="E178" s="9"/>
    </row>
    <row r="179" spans="1:5" ht="15">
      <c r="A179" s="6" t="s">
        <v>12</v>
      </c>
      <c r="B179" s="9"/>
      <c r="C179" s="212"/>
      <c r="D179" s="9"/>
      <c r="E179" s="9"/>
    </row>
    <row r="180" spans="1:5" ht="15">
      <c r="A180" s="6" t="s">
        <v>13</v>
      </c>
      <c r="B180" s="9"/>
      <c r="C180" s="212"/>
      <c r="D180" s="9"/>
      <c r="E180" s="9"/>
    </row>
    <row r="181" spans="1:5" ht="15">
      <c r="A181" s="6" t="s">
        <v>14</v>
      </c>
      <c r="B181" s="9"/>
      <c r="C181" s="212"/>
      <c r="D181" s="9"/>
      <c r="E181" s="9"/>
    </row>
    <row r="182" spans="1:5" ht="15">
      <c r="A182" s="10"/>
      <c r="B182" s="6" t="s">
        <v>17</v>
      </c>
      <c r="C182" s="5" t="s">
        <v>18</v>
      </c>
      <c r="D182" s="218"/>
      <c r="E182" s="218"/>
    </row>
    <row r="183" spans="1:5" ht="15">
      <c r="A183" s="6" t="s">
        <v>16</v>
      </c>
      <c r="B183" s="9">
        <v>1</v>
      </c>
      <c r="C183" s="212">
        <v>42</v>
      </c>
      <c r="D183" s="218"/>
      <c r="E183" s="218"/>
    </row>
    <row r="184" spans="1:5" ht="15">
      <c r="A184" s="6" t="s">
        <v>15</v>
      </c>
      <c r="B184" s="9"/>
      <c r="C184" s="212"/>
      <c r="D184" s="218"/>
      <c r="E184" s="218"/>
    </row>
    <row r="187" spans="1:5" ht="15">
      <c r="A187" s="28" t="s">
        <v>7</v>
      </c>
      <c r="B187" s="6" t="s">
        <v>17</v>
      </c>
      <c r="C187" s="211"/>
      <c r="D187" s="218"/>
      <c r="E187" s="218"/>
    </row>
    <row r="188" spans="1:5" ht="15">
      <c r="A188" s="8" t="s">
        <v>118</v>
      </c>
      <c r="B188" s="9">
        <v>1</v>
      </c>
      <c r="C188" s="211"/>
      <c r="D188" s="218"/>
      <c r="E188" s="218"/>
    </row>
    <row r="189" spans="1:5" ht="15">
      <c r="A189" s="10"/>
      <c r="B189" s="6" t="s">
        <v>17</v>
      </c>
      <c r="C189" s="5" t="s">
        <v>190</v>
      </c>
      <c r="D189" s="219" t="s">
        <v>191</v>
      </c>
      <c r="E189" s="219" t="s">
        <v>34</v>
      </c>
    </row>
    <row r="190" spans="1:5" ht="15">
      <c r="A190" s="6" t="s">
        <v>8</v>
      </c>
      <c r="B190" s="9">
        <v>7</v>
      </c>
      <c r="C190" s="212"/>
      <c r="D190" s="9"/>
      <c r="E190" s="9"/>
    </row>
    <row r="191" spans="1:5" ht="15">
      <c r="A191" s="6" t="s">
        <v>9</v>
      </c>
      <c r="B191" s="9">
        <v>7</v>
      </c>
      <c r="C191" s="212">
        <v>13</v>
      </c>
      <c r="D191" s="9"/>
      <c r="E191" s="9"/>
    </row>
    <row r="192" spans="1:5" ht="15">
      <c r="A192" s="6" t="s">
        <v>10</v>
      </c>
      <c r="B192" s="9"/>
      <c r="C192" s="212"/>
      <c r="D192" s="9"/>
      <c r="E192" s="9"/>
    </row>
    <row r="193" spans="1:5" ht="15">
      <c r="A193" s="6" t="s">
        <v>11</v>
      </c>
      <c r="B193" s="9"/>
      <c r="C193" s="212"/>
      <c r="D193" s="9"/>
      <c r="E193" s="9"/>
    </row>
    <row r="194" spans="1:5" ht="15">
      <c r="A194" s="6" t="s">
        <v>12</v>
      </c>
      <c r="B194" s="9"/>
      <c r="C194" s="212"/>
      <c r="D194" s="9"/>
      <c r="E194" s="9"/>
    </row>
    <row r="195" spans="1:5" ht="15">
      <c r="A195" s="6" t="s">
        <v>13</v>
      </c>
      <c r="B195" s="9"/>
      <c r="C195" s="212"/>
      <c r="D195" s="9"/>
      <c r="E195" s="9"/>
    </row>
    <row r="196" spans="1:5" ht="15">
      <c r="A196" s="6" t="s">
        <v>14</v>
      </c>
      <c r="B196" s="9"/>
      <c r="C196" s="212"/>
      <c r="D196" s="9"/>
      <c r="E196" s="9"/>
    </row>
    <row r="197" spans="1:5" ht="15">
      <c r="A197" s="10"/>
      <c r="B197" s="6" t="s">
        <v>17</v>
      </c>
      <c r="C197" s="5" t="s">
        <v>18</v>
      </c>
      <c r="D197" s="218"/>
      <c r="E197" s="218"/>
    </row>
    <row r="198" spans="1:5" ht="15">
      <c r="A198" s="6" t="s">
        <v>16</v>
      </c>
      <c r="B198" s="9">
        <v>1</v>
      </c>
      <c r="C198" s="212">
        <v>28</v>
      </c>
      <c r="D198" s="218"/>
      <c r="E198" s="218"/>
    </row>
    <row r="199" spans="1:5" ht="15">
      <c r="A199" s="6" t="s">
        <v>15</v>
      </c>
      <c r="B199" s="9"/>
      <c r="C199" s="212"/>
      <c r="D199" s="218"/>
      <c r="E199" s="218"/>
    </row>
    <row r="202" spans="1:5" ht="15">
      <c r="A202" s="28" t="s">
        <v>7</v>
      </c>
      <c r="B202" s="6" t="s">
        <v>17</v>
      </c>
      <c r="C202" s="211"/>
      <c r="D202" s="218"/>
      <c r="E202" s="218"/>
    </row>
    <row r="203" spans="1:5" ht="15">
      <c r="A203" s="8" t="s">
        <v>119</v>
      </c>
      <c r="B203" s="9">
        <v>1</v>
      </c>
      <c r="C203" s="211"/>
      <c r="D203" s="218"/>
      <c r="E203" s="218"/>
    </row>
    <row r="204" spans="1:5" ht="15">
      <c r="A204" s="10"/>
      <c r="B204" s="6" t="s">
        <v>17</v>
      </c>
      <c r="C204" s="5" t="s">
        <v>190</v>
      </c>
      <c r="D204" s="219" t="s">
        <v>191</v>
      </c>
      <c r="E204" s="219" t="s">
        <v>34</v>
      </c>
    </row>
    <row r="205" spans="1:5" ht="15">
      <c r="A205" s="6" t="s">
        <v>8</v>
      </c>
      <c r="B205" s="9">
        <v>10</v>
      </c>
      <c r="C205" s="212"/>
      <c r="D205" s="9"/>
      <c r="E205" s="9"/>
    </row>
    <row r="206" spans="1:5" ht="15">
      <c r="A206" s="6" t="s">
        <v>9</v>
      </c>
      <c r="B206" s="9">
        <v>8</v>
      </c>
      <c r="C206" s="212">
        <v>14</v>
      </c>
      <c r="D206" s="9"/>
      <c r="E206" s="9"/>
    </row>
    <row r="207" spans="1:5" ht="15">
      <c r="A207" s="6" t="s">
        <v>10</v>
      </c>
      <c r="B207" s="9">
        <v>1</v>
      </c>
      <c r="C207" s="212">
        <v>18</v>
      </c>
      <c r="D207" s="9"/>
      <c r="E207" s="9"/>
    </row>
    <row r="208" spans="1:5" ht="15">
      <c r="A208" s="6" t="s">
        <v>11</v>
      </c>
      <c r="B208" s="9">
        <v>1</v>
      </c>
      <c r="C208" s="212">
        <v>20</v>
      </c>
      <c r="D208" s="9"/>
      <c r="E208" s="9" t="s">
        <v>35</v>
      </c>
    </row>
    <row r="209" spans="1:5" ht="15">
      <c r="A209" s="6" t="s">
        <v>12</v>
      </c>
      <c r="B209" s="9"/>
      <c r="C209" s="212"/>
      <c r="D209" s="9"/>
      <c r="E209" s="9"/>
    </row>
    <row r="210" spans="1:5" ht="15">
      <c r="A210" s="6" t="s">
        <v>13</v>
      </c>
      <c r="B210" s="9"/>
      <c r="C210" s="212"/>
      <c r="D210" s="9"/>
      <c r="E210" s="9"/>
    </row>
    <row r="211" spans="1:5" ht="15">
      <c r="A211" s="6" t="s">
        <v>14</v>
      </c>
      <c r="B211" s="9"/>
      <c r="C211" s="212"/>
      <c r="D211" s="9"/>
      <c r="E211" s="9"/>
    </row>
    <row r="212" spans="1:5" ht="15">
      <c r="A212" s="10"/>
      <c r="B212" s="6" t="s">
        <v>17</v>
      </c>
      <c r="C212" s="5" t="s">
        <v>18</v>
      </c>
      <c r="D212" s="218"/>
      <c r="E212" s="218"/>
    </row>
    <row r="213" spans="1:5" ht="15">
      <c r="A213" s="6" t="s">
        <v>16</v>
      </c>
      <c r="B213" s="9">
        <v>1</v>
      </c>
      <c r="C213" s="212">
        <v>30</v>
      </c>
      <c r="D213" s="218"/>
      <c r="E213" s="218"/>
    </row>
    <row r="214" spans="1:5" ht="15">
      <c r="A214" s="6" t="s">
        <v>15</v>
      </c>
      <c r="B214" s="9"/>
      <c r="C214" s="212"/>
      <c r="D214" s="218"/>
      <c r="E214" s="218"/>
    </row>
    <row r="217" spans="1:5" ht="15">
      <c r="A217" s="28" t="s">
        <v>7</v>
      </c>
      <c r="B217" s="6" t="s">
        <v>17</v>
      </c>
      <c r="C217" s="211"/>
      <c r="D217" s="218"/>
      <c r="E217" s="218"/>
    </row>
    <row r="218" spans="1:5" ht="15">
      <c r="A218" s="8" t="s">
        <v>120</v>
      </c>
      <c r="B218" s="9">
        <v>1</v>
      </c>
      <c r="C218" s="211"/>
      <c r="D218" s="218"/>
      <c r="E218" s="218"/>
    </row>
    <row r="219" spans="1:5" ht="15">
      <c r="A219" s="10"/>
      <c r="B219" s="6" t="s">
        <v>17</v>
      </c>
      <c r="C219" s="5" t="s">
        <v>190</v>
      </c>
      <c r="D219" s="219" t="s">
        <v>191</v>
      </c>
      <c r="E219" s="219" t="s">
        <v>34</v>
      </c>
    </row>
    <row r="220" spans="1:5" ht="15">
      <c r="A220" s="6" t="s">
        <v>8</v>
      </c>
      <c r="B220" s="9">
        <v>8</v>
      </c>
      <c r="C220" s="212"/>
      <c r="D220" s="9"/>
      <c r="E220" s="9"/>
    </row>
    <row r="221" spans="1:5" ht="15">
      <c r="A221" s="6" t="s">
        <v>9</v>
      </c>
      <c r="B221" s="9">
        <v>7</v>
      </c>
      <c r="C221" s="212">
        <v>13</v>
      </c>
      <c r="D221" s="9"/>
      <c r="E221" s="9"/>
    </row>
    <row r="222" spans="1:5" ht="15">
      <c r="A222" s="6" t="s">
        <v>10</v>
      </c>
      <c r="B222" s="9">
        <v>1</v>
      </c>
      <c r="C222" s="212">
        <v>21</v>
      </c>
      <c r="D222" s="9"/>
      <c r="E222" s="9" t="s">
        <v>35</v>
      </c>
    </row>
    <row r="223" spans="1:5" ht="15">
      <c r="A223" s="6" t="s">
        <v>11</v>
      </c>
      <c r="B223" s="9"/>
      <c r="C223" s="212"/>
      <c r="D223" s="9"/>
      <c r="E223" s="9"/>
    </row>
    <row r="224" spans="1:5" ht="15">
      <c r="A224" s="6" t="s">
        <v>12</v>
      </c>
      <c r="B224" s="9"/>
      <c r="C224" s="212"/>
      <c r="D224" s="9"/>
      <c r="E224" s="9"/>
    </row>
    <row r="225" spans="1:5" ht="15">
      <c r="A225" s="6" t="s">
        <v>13</v>
      </c>
      <c r="B225" s="9"/>
      <c r="C225" s="212"/>
      <c r="D225" s="9"/>
      <c r="E225" s="9"/>
    </row>
    <row r="226" spans="1:5" ht="15">
      <c r="A226" s="6" t="s">
        <v>14</v>
      </c>
      <c r="B226" s="9"/>
      <c r="C226" s="212"/>
      <c r="D226" s="9"/>
      <c r="E226" s="9"/>
    </row>
    <row r="227" spans="1:5" ht="15">
      <c r="A227" s="10"/>
      <c r="B227" s="6" t="s">
        <v>17</v>
      </c>
      <c r="C227" s="5" t="s">
        <v>18</v>
      </c>
      <c r="D227" s="218"/>
      <c r="E227" s="218"/>
    </row>
    <row r="228" spans="1:5" ht="15">
      <c r="A228" s="6" t="s">
        <v>16</v>
      </c>
      <c r="B228" s="9">
        <v>1</v>
      </c>
      <c r="C228" s="212">
        <v>42</v>
      </c>
      <c r="D228" s="218"/>
      <c r="E228" s="218"/>
    </row>
    <row r="229" spans="1:5" ht="15">
      <c r="A229" s="6" t="s">
        <v>15</v>
      </c>
      <c r="B229" s="9"/>
      <c r="C229" s="212"/>
      <c r="D229" s="218"/>
      <c r="E229" s="218"/>
    </row>
    <row r="232" spans="1:5" ht="15">
      <c r="A232" s="5" t="s">
        <v>7</v>
      </c>
      <c r="B232" s="6" t="s">
        <v>17</v>
      </c>
      <c r="C232" s="211"/>
      <c r="D232" s="218"/>
      <c r="E232" s="218"/>
    </row>
    <row r="233" spans="1:5" ht="15">
      <c r="A233" s="8" t="s">
        <v>121</v>
      </c>
      <c r="B233" s="9">
        <v>1</v>
      </c>
      <c r="C233" s="211"/>
      <c r="D233" s="218"/>
      <c r="E233" s="218"/>
    </row>
    <row r="234" spans="1:5" ht="15">
      <c r="A234" s="10"/>
      <c r="B234" s="6" t="s">
        <v>17</v>
      </c>
      <c r="C234" s="5" t="s">
        <v>190</v>
      </c>
      <c r="D234" s="219" t="s">
        <v>191</v>
      </c>
      <c r="E234" s="219" t="s">
        <v>34</v>
      </c>
    </row>
    <row r="235" spans="1:5" ht="15">
      <c r="A235" s="6" t="s">
        <v>8</v>
      </c>
      <c r="B235" s="9">
        <v>7</v>
      </c>
      <c r="C235" s="212"/>
      <c r="D235" s="9"/>
      <c r="E235" s="9"/>
    </row>
    <row r="236" spans="1:5" ht="15">
      <c r="A236" s="6" t="s">
        <v>9</v>
      </c>
      <c r="B236" s="9">
        <v>7</v>
      </c>
      <c r="C236" s="212">
        <v>13</v>
      </c>
      <c r="D236" s="9"/>
      <c r="E236" s="9"/>
    </row>
    <row r="237" spans="1:5" ht="15">
      <c r="A237" s="6" t="s">
        <v>10</v>
      </c>
      <c r="B237" s="9"/>
      <c r="C237" s="212"/>
      <c r="D237" s="9"/>
      <c r="E237" s="9"/>
    </row>
    <row r="238" spans="1:5" ht="15">
      <c r="A238" s="6" t="s">
        <v>11</v>
      </c>
      <c r="B238" s="9"/>
      <c r="C238" s="212"/>
      <c r="D238" s="9"/>
      <c r="E238" s="9"/>
    </row>
    <row r="239" spans="1:5" ht="15">
      <c r="A239" s="6" t="s">
        <v>12</v>
      </c>
      <c r="B239" s="9"/>
      <c r="C239" s="212"/>
      <c r="D239" s="9"/>
      <c r="E239" s="9"/>
    </row>
    <row r="240" spans="1:5" ht="15">
      <c r="A240" s="6" t="s">
        <v>13</v>
      </c>
      <c r="B240" s="9"/>
      <c r="C240" s="212"/>
      <c r="D240" s="9"/>
      <c r="E240" s="9"/>
    </row>
    <row r="241" spans="1:5" ht="15">
      <c r="A241" s="6" t="s">
        <v>14</v>
      </c>
      <c r="B241" s="9"/>
      <c r="C241" s="212"/>
      <c r="D241" s="9"/>
      <c r="E241" s="9"/>
    </row>
    <row r="242" spans="1:5" ht="15">
      <c r="A242" s="10"/>
      <c r="B242" s="6" t="s">
        <v>17</v>
      </c>
      <c r="C242" s="5" t="s">
        <v>18</v>
      </c>
      <c r="D242" s="218"/>
      <c r="E242" s="218"/>
    </row>
    <row r="243" spans="1:5" ht="15">
      <c r="A243" s="6" t="s">
        <v>16</v>
      </c>
      <c r="B243" s="9">
        <v>1</v>
      </c>
      <c r="C243" s="212">
        <v>34</v>
      </c>
      <c r="D243" s="218"/>
      <c r="E243" s="218"/>
    </row>
    <row r="244" spans="1:5" ht="15">
      <c r="A244" s="6" t="s">
        <v>15</v>
      </c>
      <c r="B244" s="9"/>
      <c r="C244" s="212"/>
      <c r="D244" s="218"/>
      <c r="E244" s="218"/>
    </row>
    <row r="247" spans="1:5" ht="15">
      <c r="A247" s="16"/>
      <c r="B247" s="15"/>
      <c r="C247" s="17"/>
      <c r="D247" s="220"/>
      <c r="E247" s="220"/>
    </row>
    <row r="248" spans="1:5" ht="15">
      <c r="A248" s="17"/>
      <c r="B248" s="18"/>
      <c r="C248" s="17"/>
      <c r="D248" s="220"/>
      <c r="E248" s="220"/>
    </row>
    <row r="249" spans="1:5" ht="15">
      <c r="A249" s="3"/>
      <c r="B249" s="15"/>
      <c r="C249" s="16"/>
      <c r="D249" s="221"/>
      <c r="E249" s="221"/>
    </row>
    <row r="250" spans="1:5" ht="15">
      <c r="A250" s="15"/>
      <c r="B250" s="18"/>
      <c r="C250" s="213"/>
      <c r="D250" s="18"/>
      <c r="E250" s="18"/>
    </row>
    <row r="251" spans="1:5" ht="15">
      <c r="A251" s="15"/>
      <c r="B251" s="18"/>
      <c r="C251" s="213"/>
      <c r="D251" s="18"/>
      <c r="E251" s="18"/>
    </row>
    <row r="252" spans="1:5" ht="15">
      <c r="A252" s="15"/>
      <c r="B252" s="18"/>
      <c r="C252" s="213"/>
      <c r="D252" s="18"/>
      <c r="E252" s="18"/>
    </row>
    <row r="253" spans="1:5" ht="15">
      <c r="A253" s="15"/>
      <c r="B253" s="18"/>
      <c r="C253" s="213"/>
      <c r="D253" s="18"/>
      <c r="E253" s="18"/>
    </row>
    <row r="254" spans="1:5" ht="15">
      <c r="A254" s="15"/>
      <c r="B254" s="18"/>
      <c r="C254" s="213"/>
      <c r="D254" s="18"/>
      <c r="E254" s="18"/>
    </row>
    <row r="255" spans="1:5" ht="15">
      <c r="A255" s="15"/>
      <c r="B255" s="18"/>
      <c r="C255" s="213"/>
      <c r="D255" s="18"/>
      <c r="E255" s="18"/>
    </row>
    <row r="256" spans="1:5" ht="15">
      <c r="A256" s="15"/>
      <c r="B256" s="18"/>
      <c r="C256" s="213"/>
      <c r="D256" s="18"/>
      <c r="E256" s="18"/>
    </row>
    <row r="257" spans="1:5" ht="15">
      <c r="A257" s="3"/>
      <c r="B257" s="15"/>
      <c r="C257" s="16"/>
      <c r="D257" s="220"/>
      <c r="E257" s="220"/>
    </row>
    <row r="258" spans="1:5" ht="15">
      <c r="A258" s="15"/>
      <c r="B258" s="18"/>
      <c r="C258" s="213"/>
      <c r="D258" s="220"/>
      <c r="E258" s="220"/>
    </row>
    <row r="259" spans="1:5" ht="15">
      <c r="A259" s="15"/>
      <c r="B259" s="18"/>
      <c r="C259" s="213"/>
      <c r="D259" s="220"/>
      <c r="E259" s="220"/>
    </row>
    <row r="260" spans="1:5" ht="15">
      <c r="A260" s="3"/>
      <c r="B260" s="3"/>
      <c r="C260" s="17"/>
      <c r="D260" s="220"/>
      <c r="E260" s="220"/>
    </row>
    <row r="261" spans="1:5" ht="15">
      <c r="A261" s="3"/>
      <c r="B261" s="3"/>
      <c r="C261" s="17"/>
      <c r="D261" s="220"/>
      <c r="E261" s="220"/>
    </row>
    <row r="262" spans="1:5" ht="15">
      <c r="A262" s="16"/>
      <c r="B262" s="15"/>
      <c r="C262" s="17"/>
      <c r="D262" s="220"/>
      <c r="E262" s="220"/>
    </row>
    <row r="263" spans="1:5" ht="15">
      <c r="A263" s="17"/>
      <c r="B263" s="18"/>
      <c r="C263" s="17"/>
      <c r="D263" s="220"/>
      <c r="E263" s="220"/>
    </row>
    <row r="264" spans="1:5" ht="15">
      <c r="A264" s="3"/>
      <c r="B264" s="15"/>
      <c r="C264" s="16"/>
      <c r="D264" s="221"/>
      <c r="E264" s="221"/>
    </row>
    <row r="265" spans="1:5" ht="15">
      <c r="A265" s="15"/>
      <c r="B265" s="18"/>
      <c r="C265" s="213"/>
      <c r="D265" s="18"/>
      <c r="E265" s="18"/>
    </row>
    <row r="266" spans="1:5" ht="15">
      <c r="A266" s="15"/>
      <c r="B266" s="18"/>
      <c r="C266" s="213"/>
      <c r="D266" s="18"/>
      <c r="E266" s="18"/>
    </row>
    <row r="267" spans="1:5" ht="15">
      <c r="A267" s="15"/>
      <c r="B267" s="18"/>
      <c r="C267" s="213"/>
      <c r="D267" s="18"/>
      <c r="E267" s="18"/>
    </row>
    <row r="268" spans="1:5" ht="15">
      <c r="A268" s="15"/>
      <c r="B268" s="18"/>
      <c r="C268" s="213"/>
      <c r="D268" s="18"/>
      <c r="E268" s="18"/>
    </row>
    <row r="269" spans="1:5" ht="15">
      <c r="A269" s="15"/>
      <c r="B269" s="18"/>
      <c r="C269" s="213"/>
      <c r="D269" s="18"/>
      <c r="E269" s="18"/>
    </row>
    <row r="270" spans="1:5" ht="15">
      <c r="A270" s="15"/>
      <c r="B270" s="18"/>
      <c r="C270" s="213"/>
      <c r="D270" s="18"/>
      <c r="E270" s="18"/>
    </row>
    <row r="271" spans="1:5" ht="15">
      <c r="A271" s="15"/>
      <c r="B271" s="18"/>
      <c r="C271" s="213"/>
      <c r="D271" s="18"/>
      <c r="E271" s="18"/>
    </row>
    <row r="272" spans="1:5" ht="15">
      <c r="A272" s="3"/>
      <c r="B272" s="15"/>
      <c r="C272" s="16"/>
      <c r="D272" s="220"/>
      <c r="E272" s="220"/>
    </row>
    <row r="273" spans="1:5" ht="15">
      <c r="A273" s="15"/>
      <c r="B273" s="18"/>
      <c r="C273" s="213"/>
      <c r="D273" s="220"/>
      <c r="E273" s="220"/>
    </row>
    <row r="274" spans="1:5" ht="15">
      <c r="A274" s="15"/>
      <c r="B274" s="18"/>
      <c r="C274" s="213"/>
      <c r="D274" s="220"/>
      <c r="E274" s="220"/>
    </row>
    <row r="275" spans="1:5" ht="15">
      <c r="A275" s="3"/>
      <c r="B275" s="3"/>
      <c r="C275" s="17"/>
      <c r="D275" s="220"/>
      <c r="E275" s="220"/>
    </row>
    <row r="276" spans="1:5" ht="15">
      <c r="A276" s="3"/>
      <c r="B276" s="3"/>
      <c r="C276" s="17"/>
      <c r="D276" s="220"/>
      <c r="E276" s="220"/>
    </row>
    <row r="277" spans="1:5" ht="15">
      <c r="A277" s="16"/>
      <c r="B277" s="15"/>
      <c r="C277" s="17"/>
      <c r="D277" s="220"/>
      <c r="E277" s="220"/>
    </row>
    <row r="278" spans="1:5" ht="15">
      <c r="A278" s="17"/>
      <c r="B278" s="18"/>
      <c r="C278" s="17"/>
      <c r="D278" s="220"/>
      <c r="E278" s="220"/>
    </row>
    <row r="279" spans="1:5" ht="15">
      <c r="A279" s="3"/>
      <c r="B279" s="15"/>
      <c r="C279" s="16"/>
      <c r="D279" s="221"/>
      <c r="E279" s="221"/>
    </row>
    <row r="280" spans="1:5" ht="15">
      <c r="A280" s="15"/>
      <c r="B280" s="18"/>
      <c r="C280" s="213"/>
      <c r="D280" s="18"/>
      <c r="E280" s="18"/>
    </row>
    <row r="281" spans="1:5" ht="15">
      <c r="A281" s="15"/>
      <c r="B281" s="18"/>
      <c r="C281" s="213"/>
      <c r="D281" s="18"/>
      <c r="E281" s="18"/>
    </row>
    <row r="282" spans="1:5" ht="15">
      <c r="A282" s="15"/>
      <c r="B282" s="18"/>
      <c r="C282" s="213"/>
      <c r="D282" s="18"/>
      <c r="E282" s="18"/>
    </row>
    <row r="283" spans="1:5" ht="15">
      <c r="A283" s="15"/>
      <c r="B283" s="18"/>
      <c r="C283" s="213"/>
      <c r="D283" s="18"/>
      <c r="E283" s="18"/>
    </row>
    <row r="284" spans="1:5" ht="15">
      <c r="A284" s="15"/>
      <c r="B284" s="18"/>
      <c r="C284" s="213"/>
      <c r="D284" s="18"/>
      <c r="E284" s="18"/>
    </row>
    <row r="285" spans="1:5" ht="15">
      <c r="A285" s="15"/>
      <c r="B285" s="18"/>
      <c r="C285" s="213"/>
      <c r="D285" s="18"/>
      <c r="E285" s="18"/>
    </row>
    <row r="286" spans="1:5" ht="15">
      <c r="A286" s="15"/>
      <c r="B286" s="18"/>
      <c r="C286" s="213"/>
      <c r="D286" s="18"/>
      <c r="E286" s="18"/>
    </row>
    <row r="287" spans="1:5" ht="15">
      <c r="A287" s="3"/>
      <c r="B287" s="15"/>
      <c r="C287" s="16"/>
      <c r="D287" s="220"/>
      <c r="E287" s="220"/>
    </row>
    <row r="288" spans="1:5" ht="15">
      <c r="A288" s="15"/>
      <c r="B288" s="18"/>
      <c r="C288" s="213"/>
      <c r="D288" s="220"/>
      <c r="E288" s="220"/>
    </row>
    <row r="289" spans="1:5" ht="15">
      <c r="A289" s="15"/>
      <c r="B289" s="18"/>
      <c r="C289" s="213"/>
      <c r="D289" s="220"/>
      <c r="E289" s="220"/>
    </row>
    <row r="290" spans="1:5" ht="15">
      <c r="A290" s="3"/>
      <c r="B290" s="3"/>
      <c r="C290" s="17"/>
      <c r="D290" s="220"/>
      <c r="E290" s="220"/>
    </row>
    <row r="291" spans="1:5" ht="15">
      <c r="A291" s="3"/>
      <c r="B291" s="3"/>
      <c r="C291" s="17"/>
      <c r="D291" s="220"/>
      <c r="E291" s="220"/>
    </row>
    <row r="292" spans="1:5" ht="15">
      <c r="A292" s="3"/>
      <c r="B292" s="3"/>
      <c r="C292" s="17"/>
      <c r="D292" s="220"/>
      <c r="E292" s="220"/>
    </row>
  </sheetData>
  <sheetProtection/>
  <printOptions/>
  <pageMargins left="0.7" right="0.7" top="0.75" bottom="0.75" header="0.3" footer="0.3"/>
  <pageSetup horizontalDpi="600" verticalDpi="600" orientation="landscape" paperSize="9" scale="73" r:id="rId1"/>
  <rowBreaks count="5" manualBreakCount="5">
    <brk id="35" max="255" man="1"/>
    <brk id="66" max="255" man="1"/>
    <brk id="109" max="255" man="1"/>
    <brk id="154" max="255" man="1"/>
    <brk id="200" max="255" man="1"/>
  </rowBreaks>
  <colBreaks count="2" manualBreakCount="2">
    <brk id="10" max="65535" man="1"/>
    <brk id="13" max="65535" man="1"/>
  </colBreaks>
</worksheet>
</file>

<file path=xl/worksheets/sheet6.xml><?xml version="1.0" encoding="utf-8"?>
<worksheet xmlns="http://schemas.openxmlformats.org/spreadsheetml/2006/main" xmlns:r="http://schemas.openxmlformats.org/officeDocument/2006/relationships">
  <sheetPr>
    <tabColor theme="9"/>
  </sheetPr>
  <dimension ref="A1:X183"/>
  <sheetViews>
    <sheetView view="pageBreakPreview" zoomScale="60" zoomScaleNormal="70" zoomScalePageLayoutView="0" workbookViewId="0" topLeftCell="A31">
      <selection activeCell="K28" sqref="K28"/>
    </sheetView>
  </sheetViews>
  <sheetFormatPr defaultColWidth="9.140625" defaultRowHeight="15"/>
  <cols>
    <col min="1" max="1" width="31.00390625" style="0" customWidth="1"/>
    <col min="3" max="3" width="20.140625" style="0" bestFit="1" customWidth="1"/>
    <col min="4" max="4" width="24.57421875" style="217" customWidth="1"/>
    <col min="5" max="5" width="24.57421875" style="210" customWidth="1"/>
    <col min="6" max="6" width="6.7109375" style="0" customWidth="1"/>
    <col min="7" max="8" width="4.8515625" style="0" customWidth="1"/>
    <col min="9" max="9" width="5.57421875" style="0" customWidth="1"/>
    <col min="10" max="10" width="4.8515625" style="0" customWidth="1"/>
    <col min="11" max="11" width="75.8515625" style="0" customWidth="1"/>
    <col min="12" max="12" width="10.8515625" style="0" customWidth="1"/>
    <col min="14" max="14" width="12.421875" style="0" customWidth="1"/>
    <col min="15" max="15" width="13.140625" style="0" customWidth="1"/>
    <col min="16" max="16" width="10.28125" style="0" customWidth="1"/>
    <col min="17" max="17" width="13.140625" style="0" customWidth="1"/>
    <col min="18" max="18" width="12.57421875" style="0" customWidth="1"/>
    <col min="19" max="19" width="13.57421875" style="0" customWidth="1"/>
    <col min="20" max="24" width="15.7109375" style="0" customWidth="1"/>
  </cols>
  <sheetData>
    <row r="1" spans="1:2" ht="15.75" thickBot="1">
      <c r="A1" s="6" t="s">
        <v>19</v>
      </c>
      <c r="B1" s="10"/>
    </row>
    <row r="2" spans="1:24" ht="75">
      <c r="A2" s="7" t="s">
        <v>122</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0</v>
      </c>
      <c r="N3" s="140" t="s">
        <v>168</v>
      </c>
      <c r="O3" s="107">
        <f aca="true" t="shared" si="0" ref="O3:O13">P3/Q3</f>
        <v>6</v>
      </c>
      <c r="P3" s="98">
        <f>B9</f>
        <v>6</v>
      </c>
      <c r="Q3" s="98">
        <f>B7</f>
        <v>1</v>
      </c>
      <c r="R3" s="98">
        <f>B17</f>
        <v>1</v>
      </c>
      <c r="S3" s="98">
        <f>C17</f>
        <v>26</v>
      </c>
      <c r="T3" s="98">
        <v>0</v>
      </c>
      <c r="U3" s="99">
        <f>P3-T3</f>
        <v>6</v>
      </c>
      <c r="V3" s="100">
        <f>R3*S3</f>
        <v>26</v>
      </c>
      <c r="W3" s="134">
        <f>V3/P3</f>
        <v>4.333333333333333</v>
      </c>
      <c r="X3" s="135">
        <f>V3/U3</f>
        <v>4.333333333333333</v>
      </c>
    </row>
    <row r="4" spans="14:24" ht="15">
      <c r="N4" s="141"/>
      <c r="O4" s="108">
        <f t="shared" si="0"/>
        <v>6</v>
      </c>
      <c r="P4" s="94">
        <f>B24</f>
        <v>6</v>
      </c>
      <c r="Q4" s="94">
        <f>B22</f>
        <v>1</v>
      </c>
      <c r="R4" s="94">
        <f>B32</f>
        <v>1</v>
      </c>
      <c r="S4" s="94">
        <f>C32</f>
        <v>23</v>
      </c>
      <c r="T4" s="94">
        <v>0</v>
      </c>
      <c r="U4" s="95">
        <f aca="true" t="shared" si="1" ref="U4:U11">P4-T4</f>
        <v>6</v>
      </c>
      <c r="V4" s="96">
        <f aca="true" t="shared" si="2" ref="V4:V9">R4*S4</f>
        <v>23</v>
      </c>
      <c r="W4" s="136">
        <f aca="true" t="shared" si="3" ref="W4:W9">V4/P4</f>
        <v>3.8333333333333335</v>
      </c>
      <c r="X4" s="137">
        <f aca="true" t="shared" si="4" ref="X4:X9">V4/U4</f>
        <v>3.8333333333333335</v>
      </c>
    </row>
    <row r="5" spans="11:24" ht="15">
      <c r="K5" s="20" t="str">
        <f>'Summary Sheet'!C6</f>
        <v>General Communal Area</v>
      </c>
      <c r="L5" s="182">
        <f>0</f>
        <v>0</v>
      </c>
      <c r="N5" s="141"/>
      <c r="O5" s="108">
        <f t="shared" si="0"/>
        <v>4</v>
      </c>
      <c r="P5" s="94">
        <f>B39</f>
        <v>4</v>
      </c>
      <c r="Q5" s="94">
        <f>B37</f>
        <v>1</v>
      </c>
      <c r="R5" s="94">
        <f>B47</f>
        <v>1</v>
      </c>
      <c r="S5" s="94">
        <f>C47</f>
        <v>27</v>
      </c>
      <c r="T5" s="94">
        <v>0</v>
      </c>
      <c r="U5" s="95">
        <f t="shared" si="1"/>
        <v>4</v>
      </c>
      <c r="V5" s="96">
        <f t="shared" si="2"/>
        <v>27</v>
      </c>
      <c r="W5" s="136">
        <f t="shared" si="3"/>
        <v>6.75</v>
      </c>
      <c r="X5" s="137">
        <f t="shared" si="4"/>
        <v>6.75</v>
      </c>
    </row>
    <row r="6" spans="1:24" ht="15">
      <c r="A6" s="28" t="s">
        <v>7</v>
      </c>
      <c r="B6" s="6" t="s">
        <v>17</v>
      </c>
      <c r="C6" s="10"/>
      <c r="D6" s="218"/>
      <c r="E6" s="211"/>
      <c r="K6" s="20" t="str">
        <f>'Summary Sheet'!C7</f>
        <v>Kitchen / Dining / Living Area (Shared Internal Area)</v>
      </c>
      <c r="L6" s="182">
        <f>(B17*C17)+(B32*C32)+(B47*C47)+(B62*C62)+(B77*C77)+(B92*C92)+(B107*C107)+(B122*C122)+(B137*C137)+(B152*C152)+(B167*C167)</f>
        <v>2595</v>
      </c>
      <c r="N6" s="141"/>
      <c r="O6" s="108">
        <f t="shared" si="0"/>
        <v>5</v>
      </c>
      <c r="P6" s="94">
        <f>B55</f>
        <v>10</v>
      </c>
      <c r="Q6" s="94">
        <f>B52</f>
        <v>2</v>
      </c>
      <c r="R6" s="94">
        <f>B62</f>
        <v>2</v>
      </c>
      <c r="S6" s="94">
        <f>C62</f>
        <v>25</v>
      </c>
      <c r="T6" s="94">
        <v>0</v>
      </c>
      <c r="U6" s="95">
        <f t="shared" si="1"/>
        <v>10</v>
      </c>
      <c r="V6" s="96">
        <f t="shared" si="2"/>
        <v>50</v>
      </c>
      <c r="W6" s="136">
        <f t="shared" si="3"/>
        <v>5</v>
      </c>
      <c r="X6" s="137">
        <f t="shared" si="4"/>
        <v>5</v>
      </c>
    </row>
    <row r="7" spans="1:24" ht="15">
      <c r="A7" s="8" t="s">
        <v>123</v>
      </c>
      <c r="B7" s="9">
        <v>1</v>
      </c>
      <c r="C7" s="10"/>
      <c r="D7" s="218"/>
      <c r="E7" s="211"/>
      <c r="K7" s="20" t="str">
        <f>'Summary Sheet'!C8</f>
        <v>Total Communal Area</v>
      </c>
      <c r="L7" s="185">
        <f>SUM(L5:L6)</f>
        <v>2595</v>
      </c>
      <c r="N7" s="141"/>
      <c r="O7" s="108">
        <f t="shared" si="0"/>
        <v>6</v>
      </c>
      <c r="P7" s="94">
        <f>B69</f>
        <v>204</v>
      </c>
      <c r="Q7" s="94">
        <f>B67</f>
        <v>34</v>
      </c>
      <c r="R7" s="94">
        <f>B77</f>
        <v>34</v>
      </c>
      <c r="S7" s="94">
        <f>C77</f>
        <v>26</v>
      </c>
      <c r="T7" s="94">
        <v>0</v>
      </c>
      <c r="U7" s="95">
        <f t="shared" si="1"/>
        <v>204</v>
      </c>
      <c r="V7" s="96">
        <f t="shared" si="2"/>
        <v>884</v>
      </c>
      <c r="W7" s="136">
        <f t="shared" si="3"/>
        <v>4.333333333333333</v>
      </c>
      <c r="X7" s="137">
        <f t="shared" si="4"/>
        <v>4.333333333333333</v>
      </c>
    </row>
    <row r="8" spans="1:24" ht="15">
      <c r="A8" s="10"/>
      <c r="B8" s="6" t="s">
        <v>17</v>
      </c>
      <c r="C8" s="6" t="s">
        <v>190</v>
      </c>
      <c r="D8" s="219" t="s">
        <v>191</v>
      </c>
      <c r="E8" s="5" t="s">
        <v>34</v>
      </c>
      <c r="K8" s="20"/>
      <c r="L8" s="182"/>
      <c r="N8" s="141"/>
      <c r="O8" s="108">
        <f t="shared" si="0"/>
        <v>2.4705882352941178</v>
      </c>
      <c r="P8" s="94">
        <f>B84</f>
        <v>42</v>
      </c>
      <c r="Q8" s="94">
        <f>B82</f>
        <v>17</v>
      </c>
      <c r="R8" s="94">
        <f>B92</f>
        <v>17</v>
      </c>
      <c r="S8" s="94">
        <f>C92</f>
        <v>23</v>
      </c>
      <c r="T8" s="94">
        <v>0</v>
      </c>
      <c r="U8" s="95">
        <f t="shared" si="1"/>
        <v>42</v>
      </c>
      <c r="V8" s="96">
        <f t="shared" si="2"/>
        <v>391</v>
      </c>
      <c r="W8" s="136">
        <f t="shared" si="3"/>
        <v>9.30952380952381</v>
      </c>
      <c r="X8" s="137">
        <f t="shared" si="4"/>
        <v>9.30952380952381</v>
      </c>
    </row>
    <row r="9" spans="1:24" ht="15">
      <c r="A9" s="6" t="s">
        <v>8</v>
      </c>
      <c r="B9" s="9">
        <v>6</v>
      </c>
      <c r="C9" s="9"/>
      <c r="D9" s="9"/>
      <c r="E9" s="212"/>
      <c r="K9" s="20"/>
      <c r="L9" s="182"/>
      <c r="N9" s="141"/>
      <c r="O9" s="108">
        <f t="shared" si="0"/>
        <v>5</v>
      </c>
      <c r="P9" s="94">
        <f>B99</f>
        <v>170</v>
      </c>
      <c r="Q9" s="94">
        <f>B97</f>
        <v>34</v>
      </c>
      <c r="R9" s="94">
        <f>B107</f>
        <v>34</v>
      </c>
      <c r="S9" s="94">
        <f>C107</f>
        <v>25</v>
      </c>
      <c r="T9" s="94">
        <v>0</v>
      </c>
      <c r="U9" s="95">
        <f t="shared" si="1"/>
        <v>170</v>
      </c>
      <c r="V9" s="96">
        <f t="shared" si="2"/>
        <v>850</v>
      </c>
      <c r="W9" s="136">
        <f t="shared" si="3"/>
        <v>5</v>
      </c>
      <c r="X9" s="137">
        <f t="shared" si="4"/>
        <v>5</v>
      </c>
    </row>
    <row r="10" spans="1:24" ht="15">
      <c r="A10" s="6" t="s">
        <v>9</v>
      </c>
      <c r="B10" s="9">
        <v>6</v>
      </c>
      <c r="C10" s="9">
        <v>13</v>
      </c>
      <c r="D10" s="9"/>
      <c r="E10" s="212"/>
      <c r="K10" s="20" t="str">
        <f>'Summary Sheet'!C10</f>
        <v>Number of Bedrooms (cluster &amp; studio) (non Accessible)</v>
      </c>
      <c r="L10" s="6">
        <f>B10+B25+B40+B41+B55+B70+B71+B85+B100+B115+B116+B130+B145+B146+B160+B161</f>
        <v>520</v>
      </c>
      <c r="N10" s="141"/>
      <c r="O10" s="108">
        <f t="shared" si="0"/>
        <v>5.5</v>
      </c>
      <c r="P10" s="94">
        <f>B114</f>
        <v>33</v>
      </c>
      <c r="Q10" s="94">
        <f>B112</f>
        <v>6</v>
      </c>
      <c r="R10" s="94">
        <f>B122</f>
        <v>6</v>
      </c>
      <c r="S10" s="94">
        <f>C122</f>
        <v>25</v>
      </c>
      <c r="T10" s="94">
        <v>0</v>
      </c>
      <c r="U10" s="95">
        <f t="shared" si="1"/>
        <v>33</v>
      </c>
      <c r="V10" s="96">
        <f>R10*S10</f>
        <v>150</v>
      </c>
      <c r="W10" s="136">
        <f>V10/P10</f>
        <v>4.545454545454546</v>
      </c>
      <c r="X10" s="137">
        <f>V10/U10</f>
        <v>4.545454545454546</v>
      </c>
    </row>
    <row r="11" spans="1:24" ht="15">
      <c r="A11" s="6" t="s">
        <v>10</v>
      </c>
      <c r="B11" s="9"/>
      <c r="C11" s="9"/>
      <c r="D11" s="9"/>
      <c r="E11" s="212"/>
      <c r="K11" s="20" t="str">
        <f>'Summary Sheet'!C11</f>
        <v>Total Area of Bedrooms (cluster &amp; studio) (non Accessible)</v>
      </c>
      <c r="L11" s="182">
        <f>(B10*C10)+(B25*C25)+(B40*C40)+(B41*C41)+(B55*C55)+(B70*C70)+(B71*C71)+(B85*C85)+(B100*C100)+(B115*C115)+(B116*C116)+(B130*C130)+(B145*C145)+(B146*C146)+(B160*C160)+(B161*C161)</f>
        <v>6932</v>
      </c>
      <c r="N11" s="141"/>
      <c r="O11" s="108">
        <f t="shared" si="0"/>
        <v>6</v>
      </c>
      <c r="P11" s="94">
        <f>B129</f>
        <v>18</v>
      </c>
      <c r="Q11" s="94">
        <f>B127</f>
        <v>3</v>
      </c>
      <c r="R11" s="94">
        <f>B137</f>
        <v>3</v>
      </c>
      <c r="S11" s="94">
        <f>C137</f>
        <v>23</v>
      </c>
      <c r="T11" s="94">
        <v>0</v>
      </c>
      <c r="U11" s="96">
        <f t="shared" si="1"/>
        <v>18</v>
      </c>
      <c r="V11" s="96">
        <f>R11*S11</f>
        <v>69</v>
      </c>
      <c r="W11" s="136">
        <f>V11/P11</f>
        <v>3.8333333333333335</v>
      </c>
      <c r="X11" s="137">
        <f>V11/U11</f>
        <v>3.8333333333333335</v>
      </c>
    </row>
    <row r="12" spans="1:24" ht="15">
      <c r="A12" s="6" t="s">
        <v>11</v>
      </c>
      <c r="B12" s="9"/>
      <c r="C12" s="9"/>
      <c r="D12" s="9"/>
      <c r="E12" s="212"/>
      <c r="K12" s="20" t="str">
        <f>'Summary Sheet'!C12</f>
        <v>Average size of Bedroom (cluster &amp; studio) (non Accessible)</v>
      </c>
      <c r="L12" s="185">
        <f>L11/L10</f>
        <v>13.330769230769231</v>
      </c>
      <c r="N12" s="141"/>
      <c r="O12" s="108">
        <f t="shared" si="0"/>
        <v>5</v>
      </c>
      <c r="P12" s="94">
        <f>B144</f>
        <v>15</v>
      </c>
      <c r="Q12" s="94">
        <f>B142</f>
        <v>3</v>
      </c>
      <c r="R12" s="94">
        <f>B152</f>
        <v>3</v>
      </c>
      <c r="S12" s="94">
        <f>C152</f>
        <v>25</v>
      </c>
      <c r="T12" s="94">
        <v>0</v>
      </c>
      <c r="U12" s="95">
        <f>P12-T12</f>
        <v>15</v>
      </c>
      <c r="V12" s="96">
        <f>R12*S12</f>
        <v>75</v>
      </c>
      <c r="W12" s="136">
        <f>V12/P12</f>
        <v>5</v>
      </c>
      <c r="X12" s="137">
        <f>V12/U12</f>
        <v>5</v>
      </c>
    </row>
    <row r="13" spans="1:24" ht="15">
      <c r="A13" s="6" t="s">
        <v>12</v>
      </c>
      <c r="B13" s="9"/>
      <c r="C13" s="9"/>
      <c r="D13" s="9"/>
      <c r="E13" s="212"/>
      <c r="K13" s="20"/>
      <c r="L13" s="185"/>
      <c r="N13" s="141"/>
      <c r="O13" s="108">
        <f t="shared" si="0"/>
        <v>6</v>
      </c>
      <c r="P13" s="94">
        <f>B159</f>
        <v>12</v>
      </c>
      <c r="Q13" s="94">
        <f>B157</f>
        <v>2</v>
      </c>
      <c r="R13" s="94">
        <f>B167</f>
        <v>2</v>
      </c>
      <c r="S13" s="94">
        <f>C167</f>
        <v>25</v>
      </c>
      <c r="T13" s="94">
        <v>0</v>
      </c>
      <c r="U13" s="95">
        <f>P13-T13</f>
        <v>12</v>
      </c>
      <c r="V13" s="96">
        <f>R13*S13</f>
        <v>50</v>
      </c>
      <c r="W13" s="136">
        <f>V13/P13</f>
        <v>4.166666666666667</v>
      </c>
      <c r="X13" s="137">
        <f>V13/U13</f>
        <v>4.166666666666667</v>
      </c>
    </row>
    <row r="14" spans="1:24" ht="15">
      <c r="A14" s="6" t="s">
        <v>13</v>
      </c>
      <c r="B14" s="9"/>
      <c r="C14" s="9"/>
      <c r="D14" s="9"/>
      <c r="E14" s="212"/>
      <c r="K14" s="20" t="str">
        <f>'Summary Sheet'!C14</f>
        <v>Number of Cluster Bedrooms (non Accessible)</v>
      </c>
      <c r="L14" s="186">
        <f>L10</f>
        <v>520</v>
      </c>
      <c r="N14" s="141"/>
      <c r="O14" s="108"/>
      <c r="P14" s="94"/>
      <c r="Q14" s="94"/>
      <c r="R14" s="94"/>
      <c r="S14" s="94"/>
      <c r="T14" s="94"/>
      <c r="U14" s="95"/>
      <c r="V14" s="96"/>
      <c r="W14" s="136"/>
      <c r="X14" s="137"/>
    </row>
    <row r="15" spans="1:24" ht="15">
      <c r="A15" s="6" t="s">
        <v>14</v>
      </c>
      <c r="B15" s="9"/>
      <c r="C15" s="9"/>
      <c r="D15" s="9"/>
      <c r="E15" s="212"/>
      <c r="K15" s="20" t="str">
        <f>'Summary Sheet'!C15</f>
        <v>Total Area of Cluster Bedrooms (non Accessible)</v>
      </c>
      <c r="L15" s="6">
        <f>L11</f>
        <v>6932</v>
      </c>
      <c r="N15" s="141"/>
      <c r="O15" s="108"/>
      <c r="P15" s="94"/>
      <c r="Q15" s="94"/>
      <c r="R15" s="94"/>
      <c r="S15" s="94"/>
      <c r="T15" s="94"/>
      <c r="U15" s="95"/>
      <c r="V15" s="96"/>
      <c r="W15" s="136"/>
      <c r="X15" s="137"/>
    </row>
    <row r="16" spans="1:24" ht="15">
      <c r="A16" s="10"/>
      <c r="B16" s="6" t="s">
        <v>17</v>
      </c>
      <c r="C16" s="6" t="s">
        <v>18</v>
      </c>
      <c r="D16" s="218"/>
      <c r="E16" s="211"/>
      <c r="K16" s="20" t="str">
        <f>'Summary Sheet'!C16</f>
        <v>Average Size of Cluster Bedroom (non Accessible)</v>
      </c>
      <c r="L16" s="187">
        <f>L12</f>
        <v>13.330769230769231</v>
      </c>
      <c r="N16" s="141"/>
      <c r="O16" s="108"/>
      <c r="P16" s="94"/>
      <c r="Q16" s="94"/>
      <c r="R16" s="94"/>
      <c r="S16" s="94"/>
      <c r="T16" s="94"/>
      <c r="U16" s="95"/>
      <c r="V16" s="96"/>
      <c r="W16" s="136"/>
      <c r="X16" s="137"/>
    </row>
    <row r="17" spans="1:24" ht="15">
      <c r="A17" s="6" t="s">
        <v>16</v>
      </c>
      <c r="B17" s="9">
        <v>1</v>
      </c>
      <c r="C17" s="9">
        <v>26</v>
      </c>
      <c r="D17" s="218"/>
      <c r="E17" s="211"/>
      <c r="K17" s="20"/>
      <c r="L17" s="188"/>
      <c r="N17" s="141"/>
      <c r="O17" s="108"/>
      <c r="P17" s="94"/>
      <c r="Q17" s="94"/>
      <c r="R17" s="94"/>
      <c r="S17" s="94"/>
      <c r="T17" s="94"/>
      <c r="U17" s="95"/>
      <c r="V17" s="96"/>
      <c r="W17" s="136"/>
      <c r="X17" s="137"/>
    </row>
    <row r="18" spans="1:24" ht="15">
      <c r="A18" s="6" t="s">
        <v>15</v>
      </c>
      <c r="B18" s="9"/>
      <c r="C18" s="9"/>
      <c r="D18" s="218"/>
      <c r="E18" s="211"/>
      <c r="K18" s="20" t="str">
        <f>'Summary Sheet'!C18</f>
        <v>Number of Studio Bedspaces (non Accessible)</v>
      </c>
      <c r="L18" s="186">
        <v>0</v>
      </c>
      <c r="N18" s="141"/>
      <c r="O18" s="108"/>
      <c r="P18" s="94"/>
      <c r="Q18" s="94"/>
      <c r="R18" s="94"/>
      <c r="S18" s="94"/>
      <c r="T18" s="94"/>
      <c r="U18" s="95"/>
      <c r="V18" s="96"/>
      <c r="W18" s="136"/>
      <c r="X18" s="137"/>
    </row>
    <row r="19" spans="11:24" ht="15">
      <c r="K19" s="20" t="str">
        <f>'Summary Sheet'!C19</f>
        <v>Total Area of Studio Bedspace (non Accessible)</v>
      </c>
      <c r="L19" s="186">
        <v>0</v>
      </c>
      <c r="N19" s="141"/>
      <c r="O19" s="108"/>
      <c r="P19" s="94"/>
      <c r="Q19" s="94"/>
      <c r="R19" s="94"/>
      <c r="S19" s="94"/>
      <c r="T19" s="94"/>
      <c r="U19" s="95"/>
      <c r="V19" s="96"/>
      <c r="W19" s="136"/>
      <c r="X19" s="137"/>
    </row>
    <row r="20" spans="11:24" ht="15">
      <c r="K20" s="20" t="str">
        <f>'Summary Sheet'!C20</f>
        <v>Average Size of Studio Bedspaces (non Accessible)</v>
      </c>
      <c r="L20" s="189">
        <v>0</v>
      </c>
      <c r="N20" s="141"/>
      <c r="O20" s="108"/>
      <c r="P20" s="94"/>
      <c r="Q20" s="94"/>
      <c r="R20" s="94"/>
      <c r="S20" s="94"/>
      <c r="T20" s="94"/>
      <c r="U20" s="95"/>
      <c r="V20" s="96"/>
      <c r="W20" s="136"/>
      <c r="X20" s="137"/>
    </row>
    <row r="21" spans="1:24" ht="15">
      <c r="A21" s="28" t="s">
        <v>7</v>
      </c>
      <c r="B21" s="6" t="s">
        <v>17</v>
      </c>
      <c r="C21" s="10"/>
      <c r="D21" s="218"/>
      <c r="E21" s="211"/>
      <c r="K21" s="20"/>
      <c r="L21" s="182"/>
      <c r="N21" s="141"/>
      <c r="O21" s="108"/>
      <c r="P21" s="94"/>
      <c r="Q21" s="94"/>
      <c r="R21" s="94"/>
      <c r="S21" s="94"/>
      <c r="T21" s="94"/>
      <c r="U21" s="95"/>
      <c r="V21" s="96"/>
      <c r="W21" s="136"/>
      <c r="X21" s="137"/>
    </row>
    <row r="22" spans="1:24" ht="15">
      <c r="A22" s="8" t="s">
        <v>124</v>
      </c>
      <c r="B22" s="9">
        <v>1</v>
      </c>
      <c r="C22" s="10"/>
      <c r="D22" s="218"/>
      <c r="E22" s="211"/>
      <c r="K22" s="6" t="str">
        <f>'Summary Sheet'!C24</f>
        <v>Total Number of Bedrooms Inc Accessible</v>
      </c>
      <c r="L22" s="6">
        <f>L10</f>
        <v>520</v>
      </c>
      <c r="N22" s="141"/>
      <c r="O22" s="108"/>
      <c r="P22" s="94"/>
      <c r="Q22" s="94"/>
      <c r="R22" s="94"/>
      <c r="S22" s="94"/>
      <c r="T22" s="94"/>
      <c r="U22" s="95"/>
      <c r="V22" s="96"/>
      <c r="W22" s="136"/>
      <c r="X22" s="137"/>
    </row>
    <row r="23" spans="1:24" ht="15">
      <c r="A23" s="10"/>
      <c r="B23" s="6" t="s">
        <v>17</v>
      </c>
      <c r="C23" s="6" t="s">
        <v>190</v>
      </c>
      <c r="D23" s="219" t="s">
        <v>191</v>
      </c>
      <c r="E23" s="5" t="s">
        <v>34</v>
      </c>
      <c r="K23" s="6" t="str">
        <f>'Summary Sheet'!C26</f>
        <v>Number of Accessible Bedrooms</v>
      </c>
      <c r="L23" s="6">
        <f>L22-L10</f>
        <v>0</v>
      </c>
      <c r="N23" s="141"/>
      <c r="O23" s="108"/>
      <c r="P23" s="94"/>
      <c r="Q23" s="94"/>
      <c r="R23" s="94"/>
      <c r="S23" s="94"/>
      <c r="T23" s="94"/>
      <c r="U23" s="95"/>
      <c r="V23" s="96"/>
      <c r="W23" s="136"/>
      <c r="X23" s="137"/>
    </row>
    <row r="24" spans="1:24" ht="15">
      <c r="A24" s="6" t="s">
        <v>8</v>
      </c>
      <c r="B24" s="9">
        <v>6</v>
      </c>
      <c r="C24" s="9"/>
      <c r="D24" s="9"/>
      <c r="E24" s="212"/>
      <c r="K24" s="198" t="str">
        <f>'Summary Sheet'!C27</f>
        <v>Average Size of Accessible Bedroom</v>
      </c>
      <c r="L24" s="199">
        <v>0</v>
      </c>
      <c r="N24" s="141"/>
      <c r="O24" s="108"/>
      <c r="P24" s="94"/>
      <c r="Q24" s="94"/>
      <c r="R24" s="94"/>
      <c r="S24" s="94"/>
      <c r="T24" s="94"/>
      <c r="U24" s="95"/>
      <c r="V24" s="96"/>
      <c r="W24" s="136"/>
      <c r="X24" s="137"/>
    </row>
    <row r="25" spans="1:24" ht="15">
      <c r="A25" s="6" t="s">
        <v>9</v>
      </c>
      <c r="B25" s="9">
        <v>6</v>
      </c>
      <c r="C25" s="9">
        <v>13</v>
      </c>
      <c r="D25" s="9"/>
      <c r="E25" s="212"/>
      <c r="K25" s="201"/>
      <c r="L25" s="202"/>
      <c r="N25" s="141"/>
      <c r="O25" s="108"/>
      <c r="P25" s="94"/>
      <c r="Q25" s="94"/>
      <c r="R25" s="94"/>
      <c r="S25" s="94"/>
      <c r="T25" s="94"/>
      <c r="U25" s="95"/>
      <c r="V25" s="96"/>
      <c r="W25" s="136"/>
      <c r="X25" s="137"/>
    </row>
    <row r="26" spans="1:24" ht="15">
      <c r="A26" s="6" t="s">
        <v>10</v>
      </c>
      <c r="B26" s="9"/>
      <c r="C26" s="9"/>
      <c r="D26" s="9"/>
      <c r="E26" s="212"/>
      <c r="K26" s="12"/>
      <c r="L26" s="12"/>
      <c r="N26" s="141"/>
      <c r="O26" s="108"/>
      <c r="P26" s="94"/>
      <c r="Q26" s="94"/>
      <c r="R26" s="94"/>
      <c r="S26" s="94"/>
      <c r="T26" s="94"/>
      <c r="U26" s="95"/>
      <c r="V26" s="96"/>
      <c r="W26" s="136"/>
      <c r="X26" s="137"/>
    </row>
    <row r="27" spans="1:24" ht="15">
      <c r="A27" s="6" t="s">
        <v>11</v>
      </c>
      <c r="B27" s="9"/>
      <c r="C27" s="9"/>
      <c r="D27" s="9"/>
      <c r="E27" s="212"/>
      <c r="N27" s="141"/>
      <c r="O27" s="108"/>
      <c r="P27" s="94"/>
      <c r="Q27" s="94"/>
      <c r="R27" s="94"/>
      <c r="S27" s="94"/>
      <c r="T27" s="94"/>
      <c r="U27" s="95"/>
      <c r="V27" s="96"/>
      <c r="W27" s="136"/>
      <c r="X27" s="137"/>
    </row>
    <row r="28" spans="1:24" ht="15">
      <c r="A28" s="6" t="s">
        <v>12</v>
      </c>
      <c r="B28" s="9"/>
      <c r="C28" s="9"/>
      <c r="D28" s="9"/>
      <c r="E28" s="212"/>
      <c r="N28" s="141"/>
      <c r="O28" s="108"/>
      <c r="P28" s="94"/>
      <c r="Q28" s="94"/>
      <c r="R28" s="94"/>
      <c r="S28" s="94"/>
      <c r="T28" s="94"/>
      <c r="U28" s="95"/>
      <c r="V28" s="96"/>
      <c r="W28" s="136"/>
      <c r="X28" s="137"/>
    </row>
    <row r="29" spans="1:24" ht="15">
      <c r="A29" s="6" t="s">
        <v>13</v>
      </c>
      <c r="B29" s="9"/>
      <c r="C29" s="9"/>
      <c r="D29" s="9"/>
      <c r="E29" s="212"/>
      <c r="N29" s="141"/>
      <c r="O29" s="108"/>
      <c r="P29" s="94"/>
      <c r="Q29" s="94"/>
      <c r="R29" s="94"/>
      <c r="S29" s="94"/>
      <c r="T29" s="94"/>
      <c r="U29" s="95"/>
      <c r="V29" s="96"/>
      <c r="W29" s="136"/>
      <c r="X29" s="137"/>
    </row>
    <row r="30" spans="1:24" ht="15">
      <c r="A30" s="6" t="s">
        <v>14</v>
      </c>
      <c r="B30" s="9"/>
      <c r="C30" s="9"/>
      <c r="D30" s="9"/>
      <c r="E30" s="212"/>
      <c r="N30" s="141"/>
      <c r="O30" s="108"/>
      <c r="P30" s="94"/>
      <c r="Q30" s="94"/>
      <c r="R30" s="94"/>
      <c r="S30" s="94"/>
      <c r="T30" s="94"/>
      <c r="U30" s="95"/>
      <c r="V30" s="96"/>
      <c r="W30" s="136"/>
      <c r="X30" s="137"/>
    </row>
    <row r="31" spans="1:24" ht="15">
      <c r="A31" s="10"/>
      <c r="B31" s="6" t="s">
        <v>17</v>
      </c>
      <c r="C31" s="6" t="s">
        <v>18</v>
      </c>
      <c r="D31" s="218"/>
      <c r="E31" s="211"/>
      <c r="N31" s="141"/>
      <c r="O31" s="108"/>
      <c r="P31" s="94"/>
      <c r="Q31" s="94"/>
      <c r="R31" s="94"/>
      <c r="S31" s="94"/>
      <c r="T31" s="94"/>
      <c r="U31" s="95"/>
      <c r="V31" s="96"/>
      <c r="W31" s="136"/>
      <c r="X31" s="137"/>
    </row>
    <row r="32" spans="1:24" ht="15">
      <c r="A32" s="6" t="s">
        <v>16</v>
      </c>
      <c r="B32" s="9">
        <v>1</v>
      </c>
      <c r="C32" s="9">
        <v>23</v>
      </c>
      <c r="D32" s="218"/>
      <c r="E32" s="211"/>
      <c r="N32" s="141"/>
      <c r="O32" s="108"/>
      <c r="P32" s="94"/>
      <c r="Q32" s="94"/>
      <c r="R32" s="94"/>
      <c r="S32" s="94"/>
      <c r="T32" s="94"/>
      <c r="U32" s="95"/>
      <c r="V32" s="96"/>
      <c r="W32" s="136"/>
      <c r="X32" s="137"/>
    </row>
    <row r="33" spans="1:24" ht="15">
      <c r="A33" s="6" t="s">
        <v>15</v>
      </c>
      <c r="B33" s="9"/>
      <c r="C33" s="9"/>
      <c r="D33" s="218"/>
      <c r="E33" s="211"/>
      <c r="N33" s="141"/>
      <c r="O33" s="108"/>
      <c r="P33" s="94"/>
      <c r="Q33" s="94"/>
      <c r="R33" s="94"/>
      <c r="S33" s="94"/>
      <c r="T33" s="94"/>
      <c r="U33" s="95"/>
      <c r="V33" s="96"/>
      <c r="W33" s="136"/>
      <c r="X33" s="137"/>
    </row>
    <row r="34" spans="14:24" ht="15">
      <c r="N34" s="142"/>
      <c r="O34" s="108"/>
      <c r="P34" s="94"/>
      <c r="Q34" s="94"/>
      <c r="R34" s="94"/>
      <c r="S34" s="94"/>
      <c r="T34" s="94"/>
      <c r="U34" s="95"/>
      <c r="V34" s="96"/>
      <c r="W34" s="136"/>
      <c r="X34" s="137"/>
    </row>
    <row r="35" spans="14:24" ht="15.75" thickBot="1">
      <c r="N35" s="143"/>
      <c r="O35" s="125"/>
      <c r="P35" s="97"/>
      <c r="Q35" s="97"/>
      <c r="R35" s="97"/>
      <c r="S35" s="97"/>
      <c r="T35" s="97"/>
      <c r="U35" s="116"/>
      <c r="V35" s="117"/>
      <c r="W35" s="138"/>
      <c r="X35" s="139"/>
    </row>
    <row r="36" spans="1:5" ht="15.75" thickBot="1">
      <c r="A36" s="28" t="s">
        <v>7</v>
      </c>
      <c r="B36" s="6" t="s">
        <v>17</v>
      </c>
      <c r="C36" s="10"/>
      <c r="D36" s="218"/>
      <c r="E36" s="211"/>
    </row>
    <row r="37" spans="1:24" ht="15">
      <c r="A37" s="8" t="s">
        <v>125</v>
      </c>
      <c r="B37" s="9">
        <v>1</v>
      </c>
      <c r="C37" s="10"/>
      <c r="D37" s="218"/>
      <c r="E37" s="211"/>
      <c r="N37" s="131">
        <f>'Summary Sheet'!D34</f>
        <v>3</v>
      </c>
      <c r="O37" s="153"/>
      <c r="P37" s="145">
        <f>SUMIF($O$3:$O$35,$N37,P$3:P$35)</f>
        <v>0</v>
      </c>
      <c r="Q37" s="145">
        <f>SUMIF($O$3:$O$35,$N37,Q$3:Q$35)</f>
        <v>0</v>
      </c>
      <c r="R37" s="145">
        <f aca="true" t="shared" si="5" ref="R37:V44">SUMIF($O$3:$O$35,$N37,R$3:R$35)</f>
        <v>0</v>
      </c>
      <c r="S37" s="145">
        <f t="shared" si="5"/>
        <v>0</v>
      </c>
      <c r="T37" s="145">
        <f t="shared" si="5"/>
        <v>0</v>
      </c>
      <c r="U37" s="145">
        <f t="shared" si="5"/>
        <v>0</v>
      </c>
      <c r="V37" s="146">
        <f t="shared" si="5"/>
        <v>0</v>
      </c>
      <c r="W37" s="147">
        <f>_xlfn.IFERROR(V37/P37,"")</f>
      </c>
      <c r="X37" s="148">
        <f>_xlfn.IFERROR(V37/U37,"")</f>
      </c>
    </row>
    <row r="38" spans="1:24" ht="15">
      <c r="A38" s="10"/>
      <c r="B38" s="6" t="s">
        <v>17</v>
      </c>
      <c r="C38" s="6" t="s">
        <v>190</v>
      </c>
      <c r="D38" s="219" t="s">
        <v>191</v>
      </c>
      <c r="E38" s="5" t="s">
        <v>34</v>
      </c>
      <c r="N38" s="132">
        <f>'Summary Sheet'!D35</f>
        <v>4</v>
      </c>
      <c r="O38" s="154"/>
      <c r="P38" s="96">
        <f>SUMIF($O$3:O36,N38,$P$3:$P$35)</f>
        <v>4</v>
      </c>
      <c r="Q38" s="96">
        <f aca="true" t="shared" si="6" ref="Q38:Q44">SUMIF($O$3:$O$35,$N38,Q$3:Q$35)</f>
        <v>1</v>
      </c>
      <c r="R38" s="96">
        <f t="shared" si="5"/>
        <v>1</v>
      </c>
      <c r="S38" s="96">
        <f t="shared" si="5"/>
        <v>27</v>
      </c>
      <c r="T38" s="96">
        <f t="shared" si="5"/>
        <v>0</v>
      </c>
      <c r="U38" s="96">
        <f t="shared" si="5"/>
        <v>4</v>
      </c>
      <c r="V38" s="149">
        <f t="shared" si="5"/>
        <v>27</v>
      </c>
      <c r="W38" s="150">
        <f aca="true" t="shared" si="7" ref="W38:W44">_xlfn.IFERROR(V38/P38,"")</f>
        <v>6.75</v>
      </c>
      <c r="X38" s="137">
        <f aca="true" t="shared" si="8" ref="X38:X44">_xlfn.IFERROR(V38/U38,"")</f>
        <v>6.75</v>
      </c>
    </row>
    <row r="39" spans="1:24" ht="15">
      <c r="A39" s="6" t="s">
        <v>8</v>
      </c>
      <c r="B39" s="9">
        <v>4</v>
      </c>
      <c r="C39" s="9"/>
      <c r="D39" s="9"/>
      <c r="E39" s="212"/>
      <c r="N39" s="132">
        <f>'Summary Sheet'!D36</f>
        <v>5</v>
      </c>
      <c r="O39" s="154"/>
      <c r="P39" s="96">
        <f>SUMIF($O$3:O37,N39,$P$3:$P$35)</f>
        <v>195</v>
      </c>
      <c r="Q39" s="96">
        <f t="shared" si="6"/>
        <v>39</v>
      </c>
      <c r="R39" s="96">
        <f t="shared" si="5"/>
        <v>39</v>
      </c>
      <c r="S39" s="96">
        <f t="shared" si="5"/>
        <v>75</v>
      </c>
      <c r="T39" s="96">
        <f t="shared" si="5"/>
        <v>0</v>
      </c>
      <c r="U39" s="96">
        <f t="shared" si="5"/>
        <v>195</v>
      </c>
      <c r="V39" s="149">
        <f t="shared" si="5"/>
        <v>975</v>
      </c>
      <c r="W39" s="150">
        <f t="shared" si="7"/>
        <v>5</v>
      </c>
      <c r="X39" s="137">
        <f t="shared" si="8"/>
        <v>5</v>
      </c>
    </row>
    <row r="40" spans="1:24" ht="15">
      <c r="A40" s="6" t="s">
        <v>9</v>
      </c>
      <c r="B40" s="9">
        <v>3</v>
      </c>
      <c r="C40" s="9">
        <v>13</v>
      </c>
      <c r="D40" s="9"/>
      <c r="E40" s="212"/>
      <c r="N40" s="132">
        <f>'Summary Sheet'!D37</f>
        <v>6</v>
      </c>
      <c r="O40" s="154"/>
      <c r="P40" s="96">
        <f>SUMIF($O$3:O38,N40,$P$3:$P$35)</f>
        <v>246</v>
      </c>
      <c r="Q40" s="96">
        <f t="shared" si="6"/>
        <v>41</v>
      </c>
      <c r="R40" s="96">
        <f t="shared" si="5"/>
        <v>41</v>
      </c>
      <c r="S40" s="96">
        <f t="shared" si="5"/>
        <v>123</v>
      </c>
      <c r="T40" s="96">
        <f t="shared" si="5"/>
        <v>0</v>
      </c>
      <c r="U40" s="96">
        <f t="shared" si="5"/>
        <v>246</v>
      </c>
      <c r="V40" s="149">
        <f t="shared" si="5"/>
        <v>1052</v>
      </c>
      <c r="W40" s="150">
        <f t="shared" si="7"/>
        <v>4.276422764227642</v>
      </c>
      <c r="X40" s="137">
        <f t="shared" si="8"/>
        <v>4.276422764227642</v>
      </c>
    </row>
    <row r="41" spans="1:24" ht="15">
      <c r="A41" s="6" t="s">
        <v>10</v>
      </c>
      <c r="B41" s="9">
        <v>1</v>
      </c>
      <c r="C41" s="9">
        <v>17</v>
      </c>
      <c r="D41" s="9"/>
      <c r="E41" s="222"/>
      <c r="N41" s="132">
        <f>'Summary Sheet'!D38</f>
        <v>7</v>
      </c>
      <c r="O41" s="154"/>
      <c r="P41" s="96">
        <f>SUMIF($O$3:O39,N41,$P$3:$P$35)</f>
        <v>0</v>
      </c>
      <c r="Q41" s="96">
        <f t="shared" si="6"/>
        <v>0</v>
      </c>
      <c r="R41" s="96">
        <f t="shared" si="5"/>
        <v>0</v>
      </c>
      <c r="S41" s="96">
        <f t="shared" si="5"/>
        <v>0</v>
      </c>
      <c r="T41" s="96">
        <f t="shared" si="5"/>
        <v>0</v>
      </c>
      <c r="U41" s="96">
        <f t="shared" si="5"/>
        <v>0</v>
      </c>
      <c r="V41" s="149">
        <f t="shared" si="5"/>
        <v>0</v>
      </c>
      <c r="W41" s="150">
        <f t="shared" si="7"/>
      </c>
      <c r="X41" s="137">
        <f t="shared" si="8"/>
      </c>
    </row>
    <row r="42" spans="1:24" ht="15">
      <c r="A42" s="6" t="s">
        <v>11</v>
      </c>
      <c r="B42" s="9"/>
      <c r="C42" s="9"/>
      <c r="D42" s="9"/>
      <c r="E42" s="212"/>
      <c r="N42" s="132">
        <f>'Summary Sheet'!D39</f>
        <v>8</v>
      </c>
      <c r="O42" s="154"/>
      <c r="P42" s="96">
        <f>SUMIF($O$3:O40,N42,$P$3:$P$35)</f>
        <v>0</v>
      </c>
      <c r="Q42" s="96">
        <f t="shared" si="6"/>
        <v>0</v>
      </c>
      <c r="R42" s="96">
        <f t="shared" si="5"/>
        <v>0</v>
      </c>
      <c r="S42" s="96">
        <f t="shared" si="5"/>
        <v>0</v>
      </c>
      <c r="T42" s="96">
        <f t="shared" si="5"/>
        <v>0</v>
      </c>
      <c r="U42" s="96">
        <f t="shared" si="5"/>
        <v>0</v>
      </c>
      <c r="V42" s="149">
        <f t="shared" si="5"/>
        <v>0</v>
      </c>
      <c r="W42" s="150">
        <f t="shared" si="7"/>
      </c>
      <c r="X42" s="137">
        <f t="shared" si="8"/>
      </c>
    </row>
    <row r="43" spans="1:24" ht="15">
      <c r="A43" s="6" t="s">
        <v>12</v>
      </c>
      <c r="B43" s="9"/>
      <c r="C43" s="9"/>
      <c r="D43" s="9"/>
      <c r="E43" s="212"/>
      <c r="N43" s="132">
        <f>'Summary Sheet'!D40</f>
        <v>9</v>
      </c>
      <c r="O43" s="154"/>
      <c r="P43" s="96">
        <f>SUMIF($O$3:O41,N43,$P$3:$P$35)</f>
        <v>0</v>
      </c>
      <c r="Q43" s="96">
        <f t="shared" si="6"/>
        <v>0</v>
      </c>
      <c r="R43" s="96">
        <f t="shared" si="5"/>
        <v>0</v>
      </c>
      <c r="S43" s="96">
        <f t="shared" si="5"/>
        <v>0</v>
      </c>
      <c r="T43" s="96">
        <f t="shared" si="5"/>
        <v>0</v>
      </c>
      <c r="U43" s="96">
        <f t="shared" si="5"/>
        <v>0</v>
      </c>
      <c r="V43" s="149">
        <f t="shared" si="5"/>
        <v>0</v>
      </c>
      <c r="W43" s="150">
        <f t="shared" si="7"/>
      </c>
      <c r="X43" s="137">
        <f t="shared" si="8"/>
      </c>
    </row>
    <row r="44" spans="1:24" ht="15.75" thickBot="1">
      <c r="A44" s="6" t="s">
        <v>13</v>
      </c>
      <c r="B44" s="9"/>
      <c r="C44" s="9"/>
      <c r="D44" s="9"/>
      <c r="E44" s="212"/>
      <c r="N44" s="133">
        <f>'Summary Sheet'!D41</f>
        <v>10</v>
      </c>
      <c r="O44" s="155"/>
      <c r="P44" s="117">
        <f>SUMIF($O$3:O42,N44,$P$3:$P$35)</f>
        <v>0</v>
      </c>
      <c r="Q44" s="117">
        <f t="shared" si="6"/>
        <v>0</v>
      </c>
      <c r="R44" s="117">
        <f t="shared" si="5"/>
        <v>0</v>
      </c>
      <c r="S44" s="117">
        <f t="shared" si="5"/>
        <v>0</v>
      </c>
      <c r="T44" s="117">
        <f t="shared" si="5"/>
        <v>0</v>
      </c>
      <c r="U44" s="117">
        <f t="shared" si="5"/>
        <v>0</v>
      </c>
      <c r="V44" s="151">
        <f t="shared" si="5"/>
        <v>0</v>
      </c>
      <c r="W44" s="152">
        <f t="shared" si="7"/>
      </c>
      <c r="X44" s="139">
        <f t="shared" si="8"/>
      </c>
    </row>
    <row r="45" spans="1:5" ht="15">
      <c r="A45" s="6" t="s">
        <v>14</v>
      </c>
      <c r="B45" s="9"/>
      <c r="C45" s="9"/>
      <c r="D45" s="9"/>
      <c r="E45" s="212"/>
    </row>
    <row r="46" spans="1:5" ht="15">
      <c r="A46" s="10"/>
      <c r="B46" s="6" t="s">
        <v>17</v>
      </c>
      <c r="C46" s="6" t="s">
        <v>18</v>
      </c>
      <c r="D46" s="218"/>
      <c r="E46" s="211"/>
    </row>
    <row r="47" spans="1:5" ht="15">
      <c r="A47" s="6" t="s">
        <v>16</v>
      </c>
      <c r="B47" s="9">
        <v>1</v>
      </c>
      <c r="C47" s="9">
        <v>27</v>
      </c>
      <c r="D47" s="218"/>
      <c r="E47" s="211"/>
    </row>
    <row r="48" spans="1:5" ht="15">
      <c r="A48" s="6" t="s">
        <v>15</v>
      </c>
      <c r="B48" s="9"/>
      <c r="C48" s="9"/>
      <c r="D48" s="218"/>
      <c r="E48" s="211"/>
    </row>
    <row r="51" spans="1:5" ht="15">
      <c r="A51" s="28" t="s">
        <v>7</v>
      </c>
      <c r="B51" s="6" t="s">
        <v>17</v>
      </c>
      <c r="C51" s="10"/>
      <c r="D51" s="218"/>
      <c r="E51" s="211"/>
    </row>
    <row r="52" spans="1:5" ht="15">
      <c r="A52" s="8" t="s">
        <v>126</v>
      </c>
      <c r="B52" s="9">
        <v>2</v>
      </c>
      <c r="C52" s="10"/>
      <c r="D52" s="218"/>
      <c r="E52" s="211"/>
    </row>
    <row r="53" spans="1:5" ht="15">
      <c r="A53" s="10"/>
      <c r="B53" s="6" t="s">
        <v>17</v>
      </c>
      <c r="C53" s="6" t="s">
        <v>190</v>
      </c>
      <c r="D53" s="219" t="s">
        <v>191</v>
      </c>
      <c r="E53" s="5" t="s">
        <v>34</v>
      </c>
    </row>
    <row r="54" spans="1:5" ht="15">
      <c r="A54" s="6" t="s">
        <v>8</v>
      </c>
      <c r="B54" s="9">
        <v>10</v>
      </c>
      <c r="C54" s="9"/>
      <c r="D54" s="9"/>
      <c r="E54" s="212"/>
    </row>
    <row r="55" spans="1:5" ht="15">
      <c r="A55" s="6" t="s">
        <v>9</v>
      </c>
      <c r="B55" s="9">
        <v>10</v>
      </c>
      <c r="C55" s="9">
        <v>13</v>
      </c>
      <c r="D55" s="9"/>
      <c r="E55" s="212"/>
    </row>
    <row r="56" spans="1:5" ht="15">
      <c r="A56" s="6" t="s">
        <v>10</v>
      </c>
      <c r="B56" s="9"/>
      <c r="C56" s="9"/>
      <c r="D56" s="9"/>
      <c r="E56" s="212"/>
    </row>
    <row r="57" spans="1:5" ht="15">
      <c r="A57" s="6" t="s">
        <v>11</v>
      </c>
      <c r="B57" s="9"/>
      <c r="C57" s="9"/>
      <c r="D57" s="9"/>
      <c r="E57" s="212"/>
    </row>
    <row r="58" spans="1:5" ht="15">
      <c r="A58" s="6" t="s">
        <v>12</v>
      </c>
      <c r="B58" s="9"/>
      <c r="C58" s="9"/>
      <c r="D58" s="9"/>
      <c r="E58" s="212"/>
    </row>
    <row r="59" spans="1:5" ht="15">
      <c r="A59" s="6" t="s">
        <v>13</v>
      </c>
      <c r="B59" s="9"/>
      <c r="C59" s="9"/>
      <c r="D59" s="9"/>
      <c r="E59" s="212"/>
    </row>
    <row r="60" spans="1:5" ht="15">
      <c r="A60" s="6" t="s">
        <v>14</v>
      </c>
      <c r="B60" s="9"/>
      <c r="C60" s="9"/>
      <c r="D60" s="9"/>
      <c r="E60" s="212"/>
    </row>
    <row r="61" spans="1:5" ht="15">
      <c r="A61" s="10"/>
      <c r="B61" s="6" t="s">
        <v>17</v>
      </c>
      <c r="C61" s="6" t="s">
        <v>18</v>
      </c>
      <c r="D61" s="218"/>
      <c r="E61" s="211"/>
    </row>
    <row r="62" spans="1:5" ht="15">
      <c r="A62" s="6" t="s">
        <v>16</v>
      </c>
      <c r="B62" s="9">
        <v>2</v>
      </c>
      <c r="C62" s="9">
        <v>25</v>
      </c>
      <c r="D62" s="218"/>
      <c r="E62" s="211"/>
    </row>
    <row r="63" spans="1:5" ht="15">
      <c r="A63" s="6" t="s">
        <v>15</v>
      </c>
      <c r="B63" s="9"/>
      <c r="C63" s="9"/>
      <c r="D63" s="218"/>
      <c r="E63" s="211"/>
    </row>
    <row r="66" spans="1:5" ht="15">
      <c r="A66" s="28" t="s">
        <v>7</v>
      </c>
      <c r="B66" s="6" t="s">
        <v>17</v>
      </c>
      <c r="C66" s="10"/>
      <c r="D66" s="218"/>
      <c r="E66" s="211"/>
    </row>
    <row r="67" spans="1:5" ht="15">
      <c r="A67" s="8" t="s">
        <v>127</v>
      </c>
      <c r="B67" s="9">
        <v>34</v>
      </c>
      <c r="C67" s="10"/>
      <c r="D67" s="218"/>
      <c r="E67" s="211"/>
    </row>
    <row r="68" spans="1:5" ht="15">
      <c r="A68" s="10"/>
      <c r="B68" s="6" t="s">
        <v>17</v>
      </c>
      <c r="C68" s="6" t="s">
        <v>190</v>
      </c>
      <c r="D68" s="219" t="s">
        <v>191</v>
      </c>
      <c r="E68" s="5" t="s">
        <v>34</v>
      </c>
    </row>
    <row r="69" spans="1:5" ht="15">
      <c r="A69" s="6" t="s">
        <v>8</v>
      </c>
      <c r="B69" s="9">
        <v>204</v>
      </c>
      <c r="C69" s="9"/>
      <c r="D69" s="9"/>
      <c r="E69" s="212"/>
    </row>
    <row r="70" spans="1:5" ht="15">
      <c r="A70" s="6" t="s">
        <v>9</v>
      </c>
      <c r="B70" s="9">
        <v>170</v>
      </c>
      <c r="C70" s="9">
        <v>13</v>
      </c>
      <c r="D70" s="9"/>
      <c r="E70" s="212"/>
    </row>
    <row r="71" spans="1:5" ht="15">
      <c r="A71" s="6" t="s">
        <v>10</v>
      </c>
      <c r="B71" s="9">
        <v>34</v>
      </c>
      <c r="C71" s="9">
        <v>17</v>
      </c>
      <c r="D71" s="9"/>
      <c r="E71" s="222"/>
    </row>
    <row r="72" spans="1:5" ht="15">
      <c r="A72" s="6" t="s">
        <v>11</v>
      </c>
      <c r="B72" s="9"/>
      <c r="C72" s="9"/>
      <c r="D72" s="9"/>
      <c r="E72" s="212"/>
    </row>
    <row r="73" spans="1:5" ht="15">
      <c r="A73" s="6" t="s">
        <v>12</v>
      </c>
      <c r="B73" s="9"/>
      <c r="C73" s="9"/>
      <c r="D73" s="9"/>
      <c r="E73" s="212"/>
    </row>
    <row r="74" spans="1:5" ht="15">
      <c r="A74" s="6" t="s">
        <v>13</v>
      </c>
      <c r="B74" s="9"/>
      <c r="C74" s="9"/>
      <c r="D74" s="9"/>
      <c r="E74" s="212"/>
    </row>
    <row r="75" spans="1:5" ht="15">
      <c r="A75" s="6" t="s">
        <v>14</v>
      </c>
      <c r="B75" s="9"/>
      <c r="C75" s="9"/>
      <c r="D75" s="9"/>
      <c r="E75" s="212"/>
    </row>
    <row r="76" spans="1:5" ht="15">
      <c r="A76" s="10"/>
      <c r="B76" s="6" t="s">
        <v>17</v>
      </c>
      <c r="C76" s="6" t="s">
        <v>18</v>
      </c>
      <c r="D76" s="218"/>
      <c r="E76" s="211"/>
    </row>
    <row r="77" spans="1:5" ht="15">
      <c r="A77" s="6" t="s">
        <v>16</v>
      </c>
      <c r="B77" s="9">
        <v>34</v>
      </c>
      <c r="C77" s="9">
        <v>26</v>
      </c>
      <c r="D77" s="218"/>
      <c r="E77" s="211"/>
    </row>
    <row r="78" spans="1:5" ht="15">
      <c r="A78" s="6" t="s">
        <v>15</v>
      </c>
      <c r="B78" s="9"/>
      <c r="C78" s="9"/>
      <c r="D78" s="218"/>
      <c r="E78" s="211"/>
    </row>
    <row r="81" spans="1:5" ht="15">
      <c r="A81" s="28" t="s">
        <v>7</v>
      </c>
      <c r="B81" s="6" t="s">
        <v>17</v>
      </c>
      <c r="C81" s="10"/>
      <c r="D81" s="218"/>
      <c r="E81" s="211"/>
    </row>
    <row r="82" spans="1:5" ht="15">
      <c r="A82" s="8" t="s">
        <v>128</v>
      </c>
      <c r="B82" s="9">
        <v>17</v>
      </c>
      <c r="C82" s="10"/>
      <c r="D82" s="218"/>
      <c r="E82" s="211"/>
    </row>
    <row r="83" spans="1:5" ht="15">
      <c r="A83" s="10"/>
      <c r="B83" s="6" t="s">
        <v>17</v>
      </c>
      <c r="C83" s="6" t="s">
        <v>190</v>
      </c>
      <c r="D83" s="219" t="s">
        <v>191</v>
      </c>
      <c r="E83" s="5" t="s">
        <v>34</v>
      </c>
    </row>
    <row r="84" spans="1:5" ht="15">
      <c r="A84" s="6" t="s">
        <v>8</v>
      </c>
      <c r="B84" s="9">
        <v>42</v>
      </c>
      <c r="C84" s="9"/>
      <c r="D84" s="9"/>
      <c r="E84" s="212"/>
    </row>
    <row r="85" spans="1:5" ht="15">
      <c r="A85" s="6" t="s">
        <v>9</v>
      </c>
      <c r="B85" s="9">
        <v>42</v>
      </c>
      <c r="C85" s="9">
        <v>13</v>
      </c>
      <c r="D85" s="9"/>
      <c r="E85" s="212"/>
    </row>
    <row r="86" spans="1:5" ht="15">
      <c r="A86" s="6" t="s">
        <v>10</v>
      </c>
      <c r="B86" s="9"/>
      <c r="C86" s="9"/>
      <c r="D86" s="9"/>
      <c r="E86" s="212"/>
    </row>
    <row r="87" spans="1:5" ht="15">
      <c r="A87" s="6" t="s">
        <v>11</v>
      </c>
      <c r="B87" s="9"/>
      <c r="C87" s="9"/>
      <c r="D87" s="9"/>
      <c r="E87" s="212"/>
    </row>
    <row r="88" spans="1:5" ht="15">
      <c r="A88" s="6" t="s">
        <v>12</v>
      </c>
      <c r="B88" s="9"/>
      <c r="C88" s="9"/>
      <c r="D88" s="9"/>
      <c r="E88" s="212"/>
    </row>
    <row r="89" spans="1:5" ht="15">
      <c r="A89" s="6" t="s">
        <v>13</v>
      </c>
      <c r="B89" s="9"/>
      <c r="C89" s="9"/>
      <c r="D89" s="9"/>
      <c r="E89" s="212"/>
    </row>
    <row r="90" spans="1:5" ht="15">
      <c r="A90" s="6" t="s">
        <v>14</v>
      </c>
      <c r="B90" s="9"/>
      <c r="C90" s="9"/>
      <c r="D90" s="9"/>
      <c r="E90" s="212"/>
    </row>
    <row r="91" spans="1:5" ht="15">
      <c r="A91" s="10"/>
      <c r="B91" s="6" t="s">
        <v>17</v>
      </c>
      <c r="C91" s="6" t="s">
        <v>18</v>
      </c>
      <c r="D91" s="218"/>
      <c r="E91" s="211"/>
    </row>
    <row r="92" spans="1:5" ht="15">
      <c r="A92" s="6" t="s">
        <v>16</v>
      </c>
      <c r="B92" s="9">
        <v>17</v>
      </c>
      <c r="C92" s="9">
        <v>23</v>
      </c>
      <c r="D92" s="218"/>
      <c r="E92" s="211"/>
    </row>
    <row r="93" spans="1:5" ht="15">
      <c r="A93" s="6" t="s">
        <v>15</v>
      </c>
      <c r="B93" s="9"/>
      <c r="C93" s="9"/>
      <c r="D93" s="218"/>
      <c r="E93" s="211"/>
    </row>
    <row r="96" spans="1:5" ht="15">
      <c r="A96" s="28" t="s">
        <v>7</v>
      </c>
      <c r="B96" s="6" t="s">
        <v>17</v>
      </c>
      <c r="C96" s="10"/>
      <c r="D96" s="218"/>
      <c r="E96" s="211"/>
    </row>
    <row r="97" spans="1:5" ht="15">
      <c r="A97" s="8" t="s">
        <v>129</v>
      </c>
      <c r="B97" s="9">
        <v>34</v>
      </c>
      <c r="C97" s="10"/>
      <c r="D97" s="218"/>
      <c r="E97" s="211"/>
    </row>
    <row r="98" spans="1:5" ht="15">
      <c r="A98" s="10"/>
      <c r="B98" s="6" t="s">
        <v>17</v>
      </c>
      <c r="C98" s="6" t="s">
        <v>190</v>
      </c>
      <c r="D98" s="219" t="s">
        <v>191</v>
      </c>
      <c r="E98" s="5" t="s">
        <v>34</v>
      </c>
    </row>
    <row r="99" spans="1:5" ht="15">
      <c r="A99" s="6" t="s">
        <v>8</v>
      </c>
      <c r="B99" s="9">
        <v>170</v>
      </c>
      <c r="C99" s="9"/>
      <c r="D99" s="9"/>
      <c r="E99" s="212"/>
    </row>
    <row r="100" spans="1:5" ht="15">
      <c r="A100" s="6" t="s">
        <v>9</v>
      </c>
      <c r="B100" s="9">
        <v>170</v>
      </c>
      <c r="C100" s="9">
        <v>13</v>
      </c>
      <c r="D100" s="9"/>
      <c r="E100" s="212"/>
    </row>
    <row r="101" spans="1:5" ht="15">
      <c r="A101" s="6" t="s">
        <v>10</v>
      </c>
      <c r="B101" s="9"/>
      <c r="C101" s="9"/>
      <c r="D101" s="9"/>
      <c r="E101" s="212"/>
    </row>
    <row r="102" spans="1:5" ht="15">
      <c r="A102" s="6" t="s">
        <v>11</v>
      </c>
      <c r="B102" s="9"/>
      <c r="C102" s="9"/>
      <c r="D102" s="9"/>
      <c r="E102" s="212"/>
    </row>
    <row r="103" spans="1:5" ht="15">
      <c r="A103" s="6" t="s">
        <v>12</v>
      </c>
      <c r="B103" s="9"/>
      <c r="C103" s="9"/>
      <c r="D103" s="9"/>
      <c r="E103" s="212"/>
    </row>
    <row r="104" spans="1:5" ht="15">
      <c r="A104" s="6" t="s">
        <v>13</v>
      </c>
      <c r="B104" s="9"/>
      <c r="C104" s="9"/>
      <c r="D104" s="9"/>
      <c r="E104" s="212"/>
    </row>
    <row r="105" spans="1:5" ht="15">
      <c r="A105" s="6" t="s">
        <v>14</v>
      </c>
      <c r="B105" s="9"/>
      <c r="C105" s="9"/>
      <c r="D105" s="9"/>
      <c r="E105" s="212"/>
    </row>
    <row r="106" spans="1:5" ht="15">
      <c r="A106" s="10"/>
      <c r="B106" s="6" t="s">
        <v>17</v>
      </c>
      <c r="C106" s="6" t="s">
        <v>18</v>
      </c>
      <c r="D106" s="218"/>
      <c r="E106" s="211"/>
    </row>
    <row r="107" spans="1:5" ht="15">
      <c r="A107" s="6" t="s">
        <v>16</v>
      </c>
      <c r="B107" s="9">
        <v>34</v>
      </c>
      <c r="C107" s="9">
        <v>25</v>
      </c>
      <c r="D107" s="218"/>
      <c r="E107" s="211"/>
    </row>
    <row r="108" spans="1:5" ht="15">
      <c r="A108" s="6" t="s">
        <v>15</v>
      </c>
      <c r="B108" s="9"/>
      <c r="C108" s="9"/>
      <c r="D108" s="218"/>
      <c r="E108" s="211"/>
    </row>
    <row r="111" spans="1:5" ht="15">
      <c r="A111" s="28" t="s">
        <v>7</v>
      </c>
      <c r="B111" s="6" t="s">
        <v>17</v>
      </c>
      <c r="C111" s="10"/>
      <c r="D111" s="218"/>
      <c r="E111" s="211"/>
    </row>
    <row r="112" spans="1:5" ht="15">
      <c r="A112" s="8" t="s">
        <v>130</v>
      </c>
      <c r="B112" s="9">
        <v>6</v>
      </c>
      <c r="C112" s="10"/>
      <c r="D112" s="218"/>
      <c r="E112" s="211"/>
    </row>
    <row r="113" spans="1:5" ht="15">
      <c r="A113" s="10"/>
      <c r="B113" s="6" t="s">
        <v>17</v>
      </c>
      <c r="C113" s="6" t="s">
        <v>190</v>
      </c>
      <c r="D113" s="219" t="s">
        <v>191</v>
      </c>
      <c r="E113" s="5" t="s">
        <v>34</v>
      </c>
    </row>
    <row r="114" spans="1:5" ht="15">
      <c r="A114" s="6" t="s">
        <v>8</v>
      </c>
      <c r="B114" s="9">
        <v>33</v>
      </c>
      <c r="C114" s="9"/>
      <c r="D114" s="9"/>
      <c r="E114" s="212"/>
    </row>
    <row r="115" spans="1:5" ht="15">
      <c r="A115" s="6" t="s">
        <v>9</v>
      </c>
      <c r="B115" s="9">
        <v>30</v>
      </c>
      <c r="C115" s="9">
        <v>13</v>
      </c>
      <c r="D115" s="9"/>
      <c r="E115" s="212"/>
    </row>
    <row r="116" spans="1:5" ht="15">
      <c r="A116" s="6" t="s">
        <v>10</v>
      </c>
      <c r="B116" s="9">
        <v>3</v>
      </c>
      <c r="C116" s="9">
        <v>17</v>
      </c>
      <c r="D116" s="9"/>
      <c r="E116" s="222"/>
    </row>
    <row r="117" spans="1:5" ht="15">
      <c r="A117" s="6" t="s">
        <v>11</v>
      </c>
      <c r="B117" s="9"/>
      <c r="C117" s="9"/>
      <c r="D117" s="9"/>
      <c r="E117" s="212"/>
    </row>
    <row r="118" spans="1:5" ht="15">
      <c r="A118" s="6" t="s">
        <v>12</v>
      </c>
      <c r="B118" s="9"/>
      <c r="C118" s="9"/>
      <c r="D118" s="9"/>
      <c r="E118" s="212"/>
    </row>
    <row r="119" spans="1:5" ht="15">
      <c r="A119" s="6" t="s">
        <v>13</v>
      </c>
      <c r="B119" s="9"/>
      <c r="C119" s="9"/>
      <c r="D119" s="9"/>
      <c r="E119" s="212"/>
    </row>
    <row r="120" spans="1:5" ht="15">
      <c r="A120" s="6" t="s">
        <v>14</v>
      </c>
      <c r="B120" s="9"/>
      <c r="C120" s="9"/>
      <c r="D120" s="9"/>
      <c r="E120" s="212"/>
    </row>
    <row r="121" spans="1:5" ht="15">
      <c r="A121" s="10"/>
      <c r="B121" s="6" t="s">
        <v>17</v>
      </c>
      <c r="C121" s="6" t="s">
        <v>18</v>
      </c>
      <c r="D121" s="218"/>
      <c r="E121" s="211"/>
    </row>
    <row r="122" spans="1:5" ht="15">
      <c r="A122" s="6" t="s">
        <v>16</v>
      </c>
      <c r="B122" s="9">
        <v>6</v>
      </c>
      <c r="C122" s="9">
        <v>25</v>
      </c>
      <c r="D122" s="218"/>
      <c r="E122" s="211"/>
    </row>
    <row r="123" spans="1:5" ht="15">
      <c r="A123" s="6" t="s">
        <v>15</v>
      </c>
      <c r="B123" s="9"/>
      <c r="C123" s="9"/>
      <c r="D123" s="218"/>
      <c r="E123" s="211"/>
    </row>
    <row r="126" spans="1:5" ht="15">
      <c r="A126" s="28" t="s">
        <v>7</v>
      </c>
      <c r="B126" s="6" t="s">
        <v>17</v>
      </c>
      <c r="C126" s="10"/>
      <c r="D126" s="218"/>
      <c r="E126" s="211"/>
    </row>
    <row r="127" spans="1:5" ht="15">
      <c r="A127" s="8" t="s">
        <v>131</v>
      </c>
      <c r="B127" s="9">
        <v>3</v>
      </c>
      <c r="C127" s="10"/>
      <c r="D127" s="218"/>
      <c r="E127" s="211"/>
    </row>
    <row r="128" spans="1:5" ht="15">
      <c r="A128" s="10"/>
      <c r="B128" s="6" t="s">
        <v>17</v>
      </c>
      <c r="C128" s="6" t="s">
        <v>190</v>
      </c>
      <c r="D128" s="219" t="s">
        <v>191</v>
      </c>
      <c r="E128" s="5" t="s">
        <v>34</v>
      </c>
    </row>
    <row r="129" spans="1:5" ht="15">
      <c r="A129" s="6" t="s">
        <v>8</v>
      </c>
      <c r="B129" s="9">
        <v>18</v>
      </c>
      <c r="C129" s="9"/>
      <c r="D129" s="9"/>
      <c r="E129" s="212"/>
    </row>
    <row r="130" spans="1:5" ht="15">
      <c r="A130" s="6" t="s">
        <v>9</v>
      </c>
      <c r="B130" s="9">
        <v>18</v>
      </c>
      <c r="C130" s="9">
        <v>13</v>
      </c>
      <c r="D130" s="9"/>
      <c r="E130" s="212"/>
    </row>
    <row r="131" spans="1:5" ht="15">
      <c r="A131" s="6" t="s">
        <v>10</v>
      </c>
      <c r="B131" s="9"/>
      <c r="C131" s="9"/>
      <c r="D131" s="9"/>
      <c r="E131" s="212"/>
    </row>
    <row r="132" spans="1:5" ht="15">
      <c r="A132" s="6" t="s">
        <v>11</v>
      </c>
      <c r="B132" s="9"/>
      <c r="C132" s="9"/>
      <c r="D132" s="9"/>
      <c r="E132" s="212"/>
    </row>
    <row r="133" spans="1:5" ht="15">
      <c r="A133" s="6" t="s">
        <v>12</v>
      </c>
      <c r="B133" s="9"/>
      <c r="C133" s="9"/>
      <c r="D133" s="9"/>
      <c r="E133" s="212"/>
    </row>
    <row r="134" spans="1:5" ht="15">
      <c r="A134" s="6" t="s">
        <v>13</v>
      </c>
      <c r="B134" s="9"/>
      <c r="C134" s="9"/>
      <c r="D134" s="9"/>
      <c r="E134" s="212"/>
    </row>
    <row r="135" spans="1:5" ht="15">
      <c r="A135" s="6" t="s">
        <v>14</v>
      </c>
      <c r="B135" s="9"/>
      <c r="C135" s="9"/>
      <c r="D135" s="9"/>
      <c r="E135" s="212"/>
    </row>
    <row r="136" spans="1:5" ht="15">
      <c r="A136" s="10"/>
      <c r="B136" s="6" t="s">
        <v>17</v>
      </c>
      <c r="C136" s="6" t="s">
        <v>18</v>
      </c>
      <c r="D136" s="218"/>
      <c r="E136" s="211"/>
    </row>
    <row r="137" spans="1:5" ht="15">
      <c r="A137" s="6" t="s">
        <v>16</v>
      </c>
      <c r="B137" s="9">
        <v>3</v>
      </c>
      <c r="C137" s="9">
        <v>23</v>
      </c>
      <c r="D137" s="218"/>
      <c r="E137" s="211"/>
    </row>
    <row r="138" spans="1:5" ht="15">
      <c r="A138" s="6" t="s">
        <v>15</v>
      </c>
      <c r="B138" s="9"/>
      <c r="C138" s="9"/>
      <c r="D138" s="218"/>
      <c r="E138" s="211"/>
    </row>
    <row r="141" spans="1:5" ht="15">
      <c r="A141" s="28" t="s">
        <v>7</v>
      </c>
      <c r="B141" s="6" t="s">
        <v>17</v>
      </c>
      <c r="C141" s="10"/>
      <c r="D141" s="218"/>
      <c r="E141" s="211"/>
    </row>
    <row r="142" spans="1:5" ht="15">
      <c r="A142" s="8" t="s">
        <v>132</v>
      </c>
      <c r="B142" s="9">
        <v>3</v>
      </c>
      <c r="C142" s="10"/>
      <c r="D142" s="218"/>
      <c r="E142" s="211"/>
    </row>
    <row r="143" spans="1:5" ht="15">
      <c r="A143" s="10"/>
      <c r="B143" s="6" t="s">
        <v>17</v>
      </c>
      <c r="C143" s="6" t="s">
        <v>190</v>
      </c>
      <c r="D143" s="219" t="s">
        <v>191</v>
      </c>
      <c r="E143" s="5" t="s">
        <v>34</v>
      </c>
    </row>
    <row r="144" spans="1:5" ht="15">
      <c r="A144" s="6" t="s">
        <v>8</v>
      </c>
      <c r="B144" s="9">
        <v>15</v>
      </c>
      <c r="C144" s="9"/>
      <c r="D144" s="9"/>
      <c r="E144" s="212"/>
    </row>
    <row r="145" spans="1:5" ht="15">
      <c r="A145" s="6" t="s">
        <v>9</v>
      </c>
      <c r="B145" s="9">
        <v>12</v>
      </c>
      <c r="C145" s="9">
        <v>13</v>
      </c>
      <c r="D145" s="9"/>
      <c r="E145" s="212"/>
    </row>
    <row r="146" spans="1:5" ht="15">
      <c r="A146" s="6" t="s">
        <v>10</v>
      </c>
      <c r="B146" s="9">
        <v>3</v>
      </c>
      <c r="C146" s="9">
        <v>17</v>
      </c>
      <c r="D146" s="9"/>
      <c r="E146" s="222"/>
    </row>
    <row r="147" spans="1:5" ht="15">
      <c r="A147" s="6" t="s">
        <v>11</v>
      </c>
      <c r="B147" s="9"/>
      <c r="C147" s="9"/>
      <c r="D147" s="9"/>
      <c r="E147" s="212"/>
    </row>
    <row r="148" spans="1:5" ht="15">
      <c r="A148" s="6" t="s">
        <v>12</v>
      </c>
      <c r="B148" s="9"/>
      <c r="C148" s="9"/>
      <c r="D148" s="9"/>
      <c r="E148" s="212"/>
    </row>
    <row r="149" spans="1:5" ht="15">
      <c r="A149" s="6" t="s">
        <v>13</v>
      </c>
      <c r="B149" s="9"/>
      <c r="C149" s="9"/>
      <c r="D149" s="9"/>
      <c r="E149" s="212"/>
    </row>
    <row r="150" spans="1:5" ht="15">
      <c r="A150" s="6" t="s">
        <v>14</v>
      </c>
      <c r="B150" s="9"/>
      <c r="C150" s="9"/>
      <c r="D150" s="9"/>
      <c r="E150" s="212"/>
    </row>
    <row r="151" spans="1:5" ht="15">
      <c r="A151" s="10"/>
      <c r="B151" s="6" t="s">
        <v>17</v>
      </c>
      <c r="C151" s="6" t="s">
        <v>18</v>
      </c>
      <c r="D151" s="218"/>
      <c r="E151" s="211"/>
    </row>
    <row r="152" spans="1:5" ht="15">
      <c r="A152" s="6" t="s">
        <v>16</v>
      </c>
      <c r="B152" s="9">
        <v>3</v>
      </c>
      <c r="C152" s="9">
        <v>25</v>
      </c>
      <c r="D152" s="218"/>
      <c r="E152" s="211"/>
    </row>
    <row r="153" spans="1:5" ht="15">
      <c r="A153" s="6" t="s">
        <v>15</v>
      </c>
      <c r="B153" s="9"/>
      <c r="C153" s="9"/>
      <c r="D153" s="218"/>
      <c r="E153" s="211"/>
    </row>
    <row r="156" spans="1:5" ht="15">
      <c r="A156" s="28" t="s">
        <v>7</v>
      </c>
      <c r="B156" s="6" t="s">
        <v>17</v>
      </c>
      <c r="C156" s="10"/>
      <c r="D156" s="218"/>
      <c r="E156" s="211"/>
    </row>
    <row r="157" spans="1:5" ht="15">
      <c r="A157" s="8" t="s">
        <v>133</v>
      </c>
      <c r="B157" s="9">
        <v>2</v>
      </c>
      <c r="C157" s="10"/>
      <c r="D157" s="218"/>
      <c r="E157" s="211"/>
    </row>
    <row r="158" spans="1:5" ht="15">
      <c r="A158" s="10"/>
      <c r="B158" s="6" t="s">
        <v>17</v>
      </c>
      <c r="C158" s="6" t="s">
        <v>190</v>
      </c>
      <c r="D158" s="219" t="s">
        <v>191</v>
      </c>
      <c r="E158" s="5" t="s">
        <v>34</v>
      </c>
    </row>
    <row r="159" spans="1:5" ht="15">
      <c r="A159" s="6" t="s">
        <v>8</v>
      </c>
      <c r="B159" s="9">
        <v>12</v>
      </c>
      <c r="C159" s="9"/>
      <c r="D159" s="9"/>
      <c r="E159" s="212"/>
    </row>
    <row r="160" spans="1:5" ht="15">
      <c r="A160" s="6" t="s">
        <v>9</v>
      </c>
      <c r="B160" s="9">
        <v>10</v>
      </c>
      <c r="C160" s="9">
        <v>13</v>
      </c>
      <c r="D160" s="9"/>
      <c r="E160" s="212"/>
    </row>
    <row r="161" spans="1:5" ht="15">
      <c r="A161" s="6" t="s">
        <v>10</v>
      </c>
      <c r="B161" s="9">
        <v>2</v>
      </c>
      <c r="C161" s="9">
        <v>17</v>
      </c>
      <c r="D161" s="9"/>
      <c r="E161" s="222"/>
    </row>
    <row r="162" spans="1:5" ht="15">
      <c r="A162" s="6" t="s">
        <v>11</v>
      </c>
      <c r="B162" s="9"/>
      <c r="C162" s="9"/>
      <c r="D162" s="9"/>
      <c r="E162" s="212"/>
    </row>
    <row r="163" spans="1:5" ht="15">
      <c r="A163" s="6" t="s">
        <v>12</v>
      </c>
      <c r="B163" s="9"/>
      <c r="C163" s="9"/>
      <c r="D163" s="9"/>
      <c r="E163" s="212"/>
    </row>
    <row r="164" spans="1:5" ht="15">
      <c r="A164" s="6" t="s">
        <v>13</v>
      </c>
      <c r="B164" s="9"/>
      <c r="C164" s="9"/>
      <c r="D164" s="9"/>
      <c r="E164" s="212"/>
    </row>
    <row r="165" spans="1:5" ht="15">
      <c r="A165" s="6" t="s">
        <v>14</v>
      </c>
      <c r="B165" s="9"/>
      <c r="C165" s="9"/>
      <c r="D165" s="9"/>
      <c r="E165" s="212"/>
    </row>
    <row r="166" spans="1:5" ht="15">
      <c r="A166" s="10"/>
      <c r="B166" s="6" t="s">
        <v>17</v>
      </c>
      <c r="C166" s="6" t="s">
        <v>18</v>
      </c>
      <c r="D166" s="218"/>
      <c r="E166" s="211"/>
    </row>
    <row r="167" spans="1:5" ht="15">
      <c r="A167" s="6" t="s">
        <v>16</v>
      </c>
      <c r="B167" s="9">
        <v>2</v>
      </c>
      <c r="C167" s="9">
        <v>25</v>
      </c>
      <c r="D167" s="218"/>
      <c r="E167" s="211"/>
    </row>
    <row r="168" spans="1:5" ht="15">
      <c r="A168" s="6" t="s">
        <v>15</v>
      </c>
      <c r="B168" s="9"/>
      <c r="C168" s="9"/>
      <c r="D168" s="218"/>
      <c r="E168" s="211"/>
    </row>
    <row r="171" spans="1:5" ht="15">
      <c r="A171" s="16"/>
      <c r="B171" s="15"/>
      <c r="C171" s="3"/>
      <c r="D171" s="220"/>
      <c r="E171" s="17"/>
    </row>
    <row r="172" spans="1:5" ht="15">
      <c r="A172" s="17"/>
      <c r="B172" s="18"/>
      <c r="C172" s="3"/>
      <c r="D172" s="220"/>
      <c r="E172" s="17"/>
    </row>
    <row r="173" spans="1:5" ht="15">
      <c r="A173" s="3"/>
      <c r="B173" s="15"/>
      <c r="C173" s="15"/>
      <c r="D173" s="221"/>
      <c r="E173" s="16"/>
    </row>
    <row r="174" spans="1:5" ht="15">
      <c r="A174" s="15"/>
      <c r="B174" s="18"/>
      <c r="C174" s="18"/>
      <c r="D174" s="18"/>
      <c r="E174" s="213"/>
    </row>
    <row r="175" spans="1:5" ht="15">
      <c r="A175" s="15"/>
      <c r="B175" s="18"/>
      <c r="C175" s="18"/>
      <c r="D175" s="18"/>
      <c r="E175" s="213"/>
    </row>
    <row r="176" spans="1:5" ht="15">
      <c r="A176" s="15"/>
      <c r="B176" s="18"/>
      <c r="C176" s="18"/>
      <c r="D176" s="18"/>
      <c r="E176" s="213"/>
    </row>
    <row r="177" spans="1:5" ht="15">
      <c r="A177" s="15"/>
      <c r="B177" s="18"/>
      <c r="C177" s="18"/>
      <c r="D177" s="18"/>
      <c r="E177" s="213"/>
    </row>
    <row r="178" spans="1:5" ht="15">
      <c r="A178" s="15"/>
      <c r="B178" s="18"/>
      <c r="C178" s="18"/>
      <c r="D178" s="18"/>
      <c r="E178" s="213"/>
    </row>
    <row r="179" spans="1:5" ht="15">
      <c r="A179" s="15"/>
      <c r="B179" s="18"/>
      <c r="C179" s="18"/>
      <c r="D179" s="18"/>
      <c r="E179" s="213"/>
    </row>
    <row r="180" spans="1:5" ht="15">
      <c r="A180" s="15"/>
      <c r="B180" s="18"/>
      <c r="C180" s="18"/>
      <c r="D180" s="18"/>
      <c r="E180" s="213"/>
    </row>
    <row r="181" spans="1:5" ht="15">
      <c r="A181" s="3"/>
      <c r="B181" s="15"/>
      <c r="C181" s="15"/>
      <c r="D181" s="220"/>
      <c r="E181" s="17"/>
    </row>
    <row r="182" spans="1:5" ht="15">
      <c r="A182" s="15"/>
      <c r="B182" s="18"/>
      <c r="C182" s="18"/>
      <c r="D182" s="220"/>
      <c r="E182" s="17"/>
    </row>
    <row r="183" spans="1:5" ht="15">
      <c r="A183" s="15"/>
      <c r="B183" s="18"/>
      <c r="C183" s="18"/>
      <c r="D183" s="220"/>
      <c r="E183" s="17"/>
    </row>
  </sheetData>
  <sheetProtection/>
  <printOptions/>
  <pageMargins left="0.7086614173228347" right="0.7086614173228347" top="0.7480314960629921" bottom="0.7480314960629921" header="0.31496062992125984" footer="0.31496062992125984"/>
  <pageSetup horizontalDpi="600" verticalDpi="600" orientation="landscape" paperSize="9" scale="74" r:id="rId1"/>
  <rowBreaks count="4" manualBreakCount="4">
    <brk id="35" max="255" man="1"/>
    <brk id="64" max="255" man="1"/>
    <brk id="109" max="255" man="1"/>
    <brk id="124" max="255" man="1"/>
  </rowBreaks>
  <colBreaks count="2" manualBreakCount="2">
    <brk id="5" max="167" man="1"/>
    <brk id="12" max="65535" man="1"/>
  </colBreaks>
</worksheet>
</file>

<file path=xl/worksheets/sheet7.xml><?xml version="1.0" encoding="utf-8"?>
<worksheet xmlns="http://schemas.openxmlformats.org/spreadsheetml/2006/main" xmlns:r="http://schemas.openxmlformats.org/officeDocument/2006/relationships">
  <sheetPr>
    <tabColor theme="9"/>
  </sheetPr>
  <dimension ref="A1:X529"/>
  <sheetViews>
    <sheetView view="pageBreakPreview" zoomScale="60" zoomScaleNormal="70" zoomScalePageLayoutView="0" workbookViewId="0" topLeftCell="A1">
      <selection activeCell="K31" sqref="K31"/>
    </sheetView>
  </sheetViews>
  <sheetFormatPr defaultColWidth="9.140625" defaultRowHeight="15"/>
  <cols>
    <col min="1" max="1" width="28.7109375" style="0" customWidth="1"/>
    <col min="3" max="3" width="20.140625" style="0" bestFit="1" customWidth="1"/>
    <col min="4" max="4" width="26.28125" style="0" bestFit="1" customWidth="1"/>
    <col min="5" max="5" width="17.00390625" style="0" bestFit="1" customWidth="1"/>
    <col min="11" max="11" width="95.00390625" style="0" bestFit="1" customWidth="1"/>
    <col min="12" max="12" width="16.57421875" style="0" customWidth="1"/>
    <col min="14" max="14" width="13.140625" style="0" customWidth="1"/>
    <col min="15" max="15" width="12.8515625" style="0" customWidth="1"/>
    <col min="16" max="24" width="15.7109375" style="0" customWidth="1"/>
  </cols>
  <sheetData>
    <row r="1" spans="1:2" ht="15.75" thickBot="1">
      <c r="A1" s="6" t="s">
        <v>19</v>
      </c>
      <c r="B1" s="10"/>
    </row>
    <row r="2" spans="1:24" ht="75">
      <c r="A2" s="7" t="s">
        <v>49</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240</v>
      </c>
      <c r="N3" s="140" t="s">
        <v>168</v>
      </c>
      <c r="O3" s="107">
        <f aca="true" t="shared" si="0" ref="O3:O9">P3/Q3</f>
        <v>4</v>
      </c>
      <c r="P3" s="98">
        <f>B9</f>
        <v>4</v>
      </c>
      <c r="Q3" s="98">
        <f>B7</f>
        <v>1</v>
      </c>
      <c r="R3" s="98">
        <f>B17</f>
        <v>1</v>
      </c>
      <c r="S3" s="98">
        <f>C17</f>
        <v>34</v>
      </c>
      <c r="T3" s="98">
        <f>B11</f>
        <v>1</v>
      </c>
      <c r="U3" s="99">
        <f>P3-T3</f>
        <v>3</v>
      </c>
      <c r="V3" s="100">
        <f>R3*S3</f>
        <v>34</v>
      </c>
      <c r="W3" s="134">
        <f>V3/P3</f>
        <v>8.5</v>
      </c>
      <c r="X3" s="135">
        <f>V3/U3</f>
        <v>11.333333333333334</v>
      </c>
    </row>
    <row r="4" spans="14:24" ht="15">
      <c r="N4" s="141"/>
      <c r="O4" s="108">
        <f t="shared" si="0"/>
        <v>4</v>
      </c>
      <c r="P4" s="94">
        <f>B24</f>
        <v>4</v>
      </c>
      <c r="Q4" s="94">
        <f>B22</f>
        <v>1</v>
      </c>
      <c r="R4" s="94">
        <f>B32</f>
        <v>1</v>
      </c>
      <c r="S4" s="94">
        <f>C32</f>
        <v>35</v>
      </c>
      <c r="T4" s="94">
        <f>B32</f>
        <v>1</v>
      </c>
      <c r="U4" s="95">
        <f aca="true" t="shared" si="1" ref="U4:U9">P4-T4</f>
        <v>3</v>
      </c>
      <c r="V4" s="96">
        <f aca="true" t="shared" si="2" ref="V4:V9">R4*S4</f>
        <v>35</v>
      </c>
      <c r="W4" s="136">
        <f aca="true" t="shared" si="3" ref="W4:W9">V4/P4</f>
        <v>8.75</v>
      </c>
      <c r="X4" s="137">
        <f aca="true" t="shared" si="4" ref="X4:X9">V4/U4</f>
        <v>11.666666666666666</v>
      </c>
    </row>
    <row r="5" spans="11:24" ht="15">
      <c r="K5" s="20" t="str">
        <f>'Summary Sheet'!C6</f>
        <v>General Communal Area</v>
      </c>
      <c r="L5" s="182">
        <f>B3</f>
        <v>240</v>
      </c>
      <c r="N5" s="141"/>
      <c r="O5" s="108">
        <f t="shared" si="0"/>
        <v>5</v>
      </c>
      <c r="P5" s="94">
        <f>B39</f>
        <v>15</v>
      </c>
      <c r="Q5" s="94">
        <f>B37</f>
        <v>3</v>
      </c>
      <c r="R5" s="94">
        <f>B47</f>
        <v>3</v>
      </c>
      <c r="S5" s="94">
        <f>C47</f>
        <v>34</v>
      </c>
      <c r="T5" s="94">
        <v>0</v>
      </c>
      <c r="U5" s="95">
        <f t="shared" si="1"/>
        <v>15</v>
      </c>
      <c r="V5" s="96">
        <f t="shared" si="2"/>
        <v>102</v>
      </c>
      <c r="W5" s="136">
        <f t="shared" si="3"/>
        <v>6.8</v>
      </c>
      <c r="X5" s="137">
        <f t="shared" si="4"/>
        <v>6.8</v>
      </c>
    </row>
    <row r="6" spans="1:24" ht="15">
      <c r="A6" s="28" t="s">
        <v>7</v>
      </c>
      <c r="B6" s="6" t="s">
        <v>17</v>
      </c>
      <c r="C6" s="10"/>
      <c r="D6" s="10"/>
      <c r="E6" s="10"/>
      <c r="K6" s="20" t="str">
        <f>'Summary Sheet'!C7</f>
        <v>Kitchen / Dining / Living Area (Shared Internal Area)</v>
      </c>
      <c r="L6" s="182">
        <f>C17+C32+(B47*C47)+(B62*C62)+C77+C92+C107+(B122*C122)+(B137*C137)+(B152*C152)+C167+(B182*C182)+C197+(B212*C212)+(B227*C227)+(B242*C242)+(B257*C257)+C272+(B287*C287)+C302+C317+(B332*C332)+(B347*C347)+(B362*C362)+(B377*C377)+(B392*C392)+(B407*C407)+(B422+C422)+(B437*C437)+(B452*C452)+(B467*C467)+(B482*C482)</f>
        <v>2693</v>
      </c>
      <c r="N6" s="141"/>
      <c r="O6" s="108">
        <f t="shared" si="0"/>
        <v>6</v>
      </c>
      <c r="P6" s="94">
        <f>B54</f>
        <v>24</v>
      </c>
      <c r="Q6" s="94">
        <f>B52</f>
        <v>4</v>
      </c>
      <c r="R6" s="94">
        <f>B62</f>
        <v>4</v>
      </c>
      <c r="S6" s="94">
        <f>C62</f>
        <v>35</v>
      </c>
      <c r="T6" s="94">
        <v>0</v>
      </c>
      <c r="U6" s="95">
        <f t="shared" si="1"/>
        <v>24</v>
      </c>
      <c r="V6" s="96">
        <f t="shared" si="2"/>
        <v>140</v>
      </c>
      <c r="W6" s="136">
        <f t="shared" si="3"/>
        <v>5.833333333333333</v>
      </c>
      <c r="X6" s="137">
        <f t="shared" si="4"/>
        <v>5.833333333333333</v>
      </c>
    </row>
    <row r="7" spans="1:24" ht="15">
      <c r="A7" s="8" t="s">
        <v>50</v>
      </c>
      <c r="B7" s="14">
        <v>1</v>
      </c>
      <c r="C7" s="10"/>
      <c r="D7" s="10"/>
      <c r="E7" s="10"/>
      <c r="K7" s="20" t="str">
        <f>'Summary Sheet'!C8</f>
        <v>Total Communal Area</v>
      </c>
      <c r="L7" s="185">
        <f>SUM(L5:L6)</f>
        <v>2933</v>
      </c>
      <c r="N7" s="141"/>
      <c r="O7" s="108">
        <f t="shared" si="0"/>
        <v>6</v>
      </c>
      <c r="P7" s="94">
        <f>B70</f>
        <v>6</v>
      </c>
      <c r="Q7" s="94">
        <f>B67</f>
        <v>1</v>
      </c>
      <c r="R7" s="94">
        <f>B77</f>
        <v>1</v>
      </c>
      <c r="S7" s="94">
        <f>C77</f>
        <v>34</v>
      </c>
      <c r="T7" s="94">
        <v>0</v>
      </c>
      <c r="U7" s="95">
        <f t="shared" si="1"/>
        <v>6</v>
      </c>
      <c r="V7" s="96">
        <f t="shared" si="2"/>
        <v>34</v>
      </c>
      <c r="W7" s="136">
        <f t="shared" si="3"/>
        <v>5.666666666666667</v>
      </c>
      <c r="X7" s="137">
        <f t="shared" si="4"/>
        <v>5.666666666666667</v>
      </c>
    </row>
    <row r="8" spans="1:24" ht="15">
      <c r="A8" s="10"/>
      <c r="B8" s="20" t="s">
        <v>17</v>
      </c>
      <c r="C8" s="6" t="s">
        <v>190</v>
      </c>
      <c r="D8" s="6" t="s">
        <v>191</v>
      </c>
      <c r="E8" s="6" t="s">
        <v>34</v>
      </c>
      <c r="K8" s="20"/>
      <c r="L8" s="182"/>
      <c r="N8" s="141"/>
      <c r="O8" s="108">
        <f t="shared" si="0"/>
        <v>4</v>
      </c>
      <c r="P8" s="94">
        <f>B84</f>
        <v>4</v>
      </c>
      <c r="Q8" s="94">
        <f>B82</f>
        <v>1</v>
      </c>
      <c r="R8" s="94">
        <f>B92</f>
        <v>1</v>
      </c>
      <c r="S8" s="94">
        <f>C92</f>
        <v>35</v>
      </c>
      <c r="T8" s="94">
        <v>0</v>
      </c>
      <c r="U8" s="95">
        <f t="shared" si="1"/>
        <v>4</v>
      </c>
      <c r="V8" s="96">
        <f t="shared" si="2"/>
        <v>35</v>
      </c>
      <c r="W8" s="136">
        <f t="shared" si="3"/>
        <v>8.75</v>
      </c>
      <c r="X8" s="137">
        <f t="shared" si="4"/>
        <v>8.75</v>
      </c>
    </row>
    <row r="9" spans="1:24" ht="15">
      <c r="A9" s="6" t="s">
        <v>8</v>
      </c>
      <c r="B9" s="14">
        <v>4</v>
      </c>
      <c r="C9" s="9"/>
      <c r="D9" s="9"/>
      <c r="E9" s="9"/>
      <c r="K9" s="20"/>
      <c r="L9" s="182"/>
      <c r="N9" s="141"/>
      <c r="O9" s="108">
        <f t="shared" si="0"/>
        <v>6</v>
      </c>
      <c r="P9" s="94">
        <f>B99</f>
        <v>6</v>
      </c>
      <c r="Q9" s="94">
        <f>B82</f>
        <v>1</v>
      </c>
      <c r="R9" s="94">
        <f>B107</f>
        <v>1</v>
      </c>
      <c r="S9" s="94">
        <f>C92</f>
        <v>35</v>
      </c>
      <c r="T9" s="94">
        <v>0</v>
      </c>
      <c r="U9" s="95">
        <f t="shared" si="1"/>
        <v>6</v>
      </c>
      <c r="V9" s="96">
        <f t="shared" si="2"/>
        <v>35</v>
      </c>
      <c r="W9" s="136">
        <f t="shared" si="3"/>
        <v>5.833333333333333</v>
      </c>
      <c r="X9" s="137">
        <f t="shared" si="4"/>
        <v>5.833333333333333</v>
      </c>
    </row>
    <row r="10" spans="1:24" ht="15">
      <c r="A10" s="6" t="s">
        <v>9</v>
      </c>
      <c r="B10" s="14">
        <v>3</v>
      </c>
      <c r="C10" s="9">
        <v>14</v>
      </c>
      <c r="D10" s="9"/>
      <c r="E10" s="9"/>
      <c r="K10" s="20" t="str">
        <f>'Summary Sheet'!C10</f>
        <v>Number of Bedrooms (cluster &amp; studio) (non Accessible)</v>
      </c>
      <c r="L10" s="6">
        <f>B10+B25+B40+B41+B55+B70+B85+B100+B115+B130+B145+B160+B175+B190+B205+B220+B235+B250+B265+B280+B295+B310+B325+B340+B355+B370+B385+B400+B415+B430+B445+B460+B475</f>
        <v>521</v>
      </c>
      <c r="N10" s="141"/>
      <c r="O10" s="108">
        <f aca="true" t="shared" si="5" ref="O10:O34">P10/Q10</f>
        <v>6</v>
      </c>
      <c r="P10" s="94">
        <f>B114</f>
        <v>18</v>
      </c>
      <c r="Q10" s="94">
        <f>B112</f>
        <v>3</v>
      </c>
      <c r="R10" s="94">
        <f>B122</f>
        <v>3</v>
      </c>
      <c r="S10" s="94">
        <f>C122</f>
        <v>35</v>
      </c>
      <c r="T10" s="94">
        <v>0</v>
      </c>
      <c r="U10" s="95">
        <f aca="true" t="shared" si="6" ref="U10:U34">P10-T10</f>
        <v>18</v>
      </c>
      <c r="V10" s="96">
        <f aca="true" t="shared" si="7" ref="V10:V34">R10*S10</f>
        <v>105</v>
      </c>
      <c r="W10" s="136">
        <f aca="true" t="shared" si="8" ref="W10:W34">V10/P10</f>
        <v>5.833333333333333</v>
      </c>
      <c r="X10" s="137">
        <f aca="true" t="shared" si="9" ref="X10:X34">V10/U10</f>
        <v>5.833333333333333</v>
      </c>
    </row>
    <row r="11" spans="1:24" ht="15">
      <c r="A11" s="6" t="s">
        <v>10</v>
      </c>
      <c r="B11" s="14">
        <v>1</v>
      </c>
      <c r="C11" s="9">
        <v>44</v>
      </c>
      <c r="D11" s="9"/>
      <c r="E11" s="9" t="s">
        <v>35</v>
      </c>
      <c r="K11" s="20" t="str">
        <f>'Summary Sheet'!C11</f>
        <v>Total Area of Bedrooms (cluster &amp; studio) (non Accessible)</v>
      </c>
      <c r="L11" s="182">
        <f>(B10*C10)+(B25*C25)+(B40*C40)+(B41*C41)+(B55*C55)+(B70*C70)+(B85*C85)+(B100*C100)+(B115*C115)+(B130*C130)+(B145*C145)+(B160*C160)+(B175*C175)+(B190*C190)+(B205*C205)+(B220*C220)+(B235*C235)+(B250*C250)+(B265*C265)+(B280*C280)+(B295*C295)+(B310*C310)+(B325*C325)+(B340*C340)+(B355*C355)+(B370*C370)+(B385*C385)+(B400*C400)+(B415*C415)+(B430*C430)+(B445*C445)+(B460*C460)+(B475*C475)</f>
        <v>7336</v>
      </c>
      <c r="N11" s="141"/>
      <c r="O11" s="108">
        <f t="shared" si="5"/>
        <v>6</v>
      </c>
      <c r="P11" s="94">
        <f>B129</f>
        <v>18</v>
      </c>
      <c r="Q11" s="94">
        <f>B127</f>
        <v>3</v>
      </c>
      <c r="R11" s="94">
        <f>B137</f>
        <v>3</v>
      </c>
      <c r="S11" s="94">
        <f>C137</f>
        <v>35</v>
      </c>
      <c r="T11" s="94">
        <v>0</v>
      </c>
      <c r="U11" s="96">
        <f t="shared" si="6"/>
        <v>18</v>
      </c>
      <c r="V11" s="96">
        <f t="shared" si="7"/>
        <v>105</v>
      </c>
      <c r="W11" s="136">
        <f t="shared" si="8"/>
        <v>5.833333333333333</v>
      </c>
      <c r="X11" s="137">
        <f t="shared" si="9"/>
        <v>5.833333333333333</v>
      </c>
    </row>
    <row r="12" spans="1:24" ht="15">
      <c r="A12" s="6" t="s">
        <v>11</v>
      </c>
      <c r="B12" s="14"/>
      <c r="C12" s="9"/>
      <c r="D12" s="9"/>
      <c r="E12" s="9"/>
      <c r="K12" s="20" t="str">
        <f>'Summary Sheet'!C12</f>
        <v>Average size of Bedroom (cluster &amp; studio) (non Accessible)</v>
      </c>
      <c r="L12" s="185">
        <f>L11/L10</f>
        <v>14.080614203454894</v>
      </c>
      <c r="N12" s="141"/>
      <c r="O12" s="108">
        <f t="shared" si="5"/>
        <v>6</v>
      </c>
      <c r="P12" s="94">
        <f>B144</f>
        <v>24</v>
      </c>
      <c r="Q12" s="94">
        <f>B142</f>
        <v>4</v>
      </c>
      <c r="R12" s="94">
        <f>B152</f>
        <v>4</v>
      </c>
      <c r="S12" s="94">
        <f>C152</f>
        <v>35</v>
      </c>
      <c r="T12" s="94">
        <v>0</v>
      </c>
      <c r="U12" s="95">
        <f t="shared" si="6"/>
        <v>24</v>
      </c>
      <c r="V12" s="96">
        <f t="shared" si="7"/>
        <v>140</v>
      </c>
      <c r="W12" s="136">
        <f t="shared" si="8"/>
        <v>5.833333333333333</v>
      </c>
      <c r="X12" s="137">
        <f t="shared" si="9"/>
        <v>5.833333333333333</v>
      </c>
    </row>
    <row r="13" spans="1:24" ht="15">
      <c r="A13" s="6" t="s">
        <v>12</v>
      </c>
      <c r="B13" s="14"/>
      <c r="C13" s="9"/>
      <c r="D13" s="9"/>
      <c r="E13" s="9"/>
      <c r="K13" s="20"/>
      <c r="L13" s="185"/>
      <c r="N13" s="141"/>
      <c r="O13" s="108">
        <f t="shared" si="5"/>
        <v>5</v>
      </c>
      <c r="P13" s="94">
        <f>B159</f>
        <v>5</v>
      </c>
      <c r="Q13" s="94">
        <f>B157</f>
        <v>1</v>
      </c>
      <c r="R13" s="94">
        <f>B167</f>
        <v>1</v>
      </c>
      <c r="S13" s="94">
        <f>C167</f>
        <v>35</v>
      </c>
      <c r="T13" s="94">
        <v>0</v>
      </c>
      <c r="U13" s="95">
        <f t="shared" si="6"/>
        <v>5</v>
      </c>
      <c r="V13" s="96">
        <f t="shared" si="7"/>
        <v>35</v>
      </c>
      <c r="W13" s="136">
        <f t="shared" si="8"/>
        <v>7</v>
      </c>
      <c r="X13" s="137">
        <f t="shared" si="9"/>
        <v>7</v>
      </c>
    </row>
    <row r="14" spans="1:24" ht="15">
      <c r="A14" s="6" t="s">
        <v>13</v>
      </c>
      <c r="B14" s="14"/>
      <c r="C14" s="9"/>
      <c r="D14" s="9"/>
      <c r="E14" s="9"/>
      <c r="K14" s="20" t="str">
        <f>'Summary Sheet'!C14</f>
        <v>Number of Cluster Bedrooms (non Accessible)</v>
      </c>
      <c r="L14" s="186">
        <f>L10</f>
        <v>521</v>
      </c>
      <c r="N14" s="141"/>
      <c r="O14" s="108">
        <f t="shared" si="5"/>
        <v>6</v>
      </c>
      <c r="P14" s="94">
        <f>B174</f>
        <v>24</v>
      </c>
      <c r="Q14" s="94">
        <f>B172</f>
        <v>4</v>
      </c>
      <c r="R14" s="94">
        <f>B182</f>
        <v>4</v>
      </c>
      <c r="S14" s="94">
        <f>C182</f>
        <v>35</v>
      </c>
      <c r="T14" s="94">
        <v>0</v>
      </c>
      <c r="U14" s="95">
        <f t="shared" si="6"/>
        <v>24</v>
      </c>
      <c r="V14" s="96">
        <f t="shared" si="7"/>
        <v>140</v>
      </c>
      <c r="W14" s="136">
        <f t="shared" si="8"/>
        <v>5.833333333333333</v>
      </c>
      <c r="X14" s="137">
        <f t="shared" si="9"/>
        <v>5.833333333333333</v>
      </c>
    </row>
    <row r="15" spans="1:24" ht="15">
      <c r="A15" s="6" t="s">
        <v>14</v>
      </c>
      <c r="B15" s="14"/>
      <c r="C15" s="9"/>
      <c r="D15" s="9"/>
      <c r="E15" s="9"/>
      <c r="K15" s="20" t="str">
        <f>'Summary Sheet'!C15</f>
        <v>Total Area of Cluster Bedrooms (non Accessible)</v>
      </c>
      <c r="L15" s="6">
        <f>L11</f>
        <v>7336</v>
      </c>
      <c r="N15" s="141"/>
      <c r="O15" s="108">
        <f t="shared" si="5"/>
        <v>4</v>
      </c>
      <c r="P15" s="94">
        <f>B189</f>
        <v>4</v>
      </c>
      <c r="Q15" s="94">
        <f>B187</f>
        <v>1</v>
      </c>
      <c r="R15" s="94">
        <f>B197</f>
        <v>1</v>
      </c>
      <c r="S15" s="94">
        <f>C197</f>
        <v>35</v>
      </c>
      <c r="T15" s="94">
        <v>0</v>
      </c>
      <c r="U15" s="95">
        <f t="shared" si="6"/>
        <v>4</v>
      </c>
      <c r="V15" s="96">
        <f t="shared" si="7"/>
        <v>35</v>
      </c>
      <c r="W15" s="136">
        <f t="shared" si="8"/>
        <v>8.75</v>
      </c>
      <c r="X15" s="137">
        <f t="shared" si="9"/>
        <v>8.75</v>
      </c>
    </row>
    <row r="16" spans="1:24" ht="15">
      <c r="A16" s="10"/>
      <c r="B16" s="20" t="s">
        <v>17</v>
      </c>
      <c r="C16" s="6" t="s">
        <v>18</v>
      </c>
      <c r="D16" s="10"/>
      <c r="E16" s="10"/>
      <c r="K16" s="20" t="str">
        <f>'Summary Sheet'!C16</f>
        <v>Average Size of Cluster Bedroom (non Accessible)</v>
      </c>
      <c r="L16" s="187">
        <f>L12</f>
        <v>14.080614203454894</v>
      </c>
      <c r="N16" s="141"/>
      <c r="O16" s="108">
        <f t="shared" si="5"/>
        <v>4</v>
      </c>
      <c r="P16" s="94">
        <f>B204</f>
        <v>16</v>
      </c>
      <c r="Q16" s="94">
        <f>B202</f>
        <v>4</v>
      </c>
      <c r="R16" s="94">
        <f>B212</f>
        <v>4</v>
      </c>
      <c r="S16" s="94">
        <f>C212</f>
        <v>32</v>
      </c>
      <c r="T16" s="94">
        <v>0</v>
      </c>
      <c r="U16" s="95">
        <f t="shared" si="6"/>
        <v>16</v>
      </c>
      <c r="V16" s="96">
        <f t="shared" si="7"/>
        <v>128</v>
      </c>
      <c r="W16" s="136">
        <f t="shared" si="8"/>
        <v>8</v>
      </c>
      <c r="X16" s="137">
        <f t="shared" si="9"/>
        <v>8</v>
      </c>
    </row>
    <row r="17" spans="1:24" ht="15">
      <c r="A17" s="6" t="s">
        <v>16</v>
      </c>
      <c r="B17" s="14">
        <v>1</v>
      </c>
      <c r="C17" s="9">
        <v>34</v>
      </c>
      <c r="D17" s="10"/>
      <c r="E17" s="10"/>
      <c r="K17" s="20"/>
      <c r="L17" s="188"/>
      <c r="N17" s="141"/>
      <c r="O17" s="108">
        <f t="shared" si="5"/>
        <v>6</v>
      </c>
      <c r="P17" s="94">
        <f>B219</f>
        <v>24</v>
      </c>
      <c r="Q17" s="94">
        <f>B217</f>
        <v>4</v>
      </c>
      <c r="R17" s="94">
        <f>B227</f>
        <v>4</v>
      </c>
      <c r="S17" s="94">
        <f>C227</f>
        <v>35</v>
      </c>
      <c r="T17" s="94">
        <v>0</v>
      </c>
      <c r="U17" s="95">
        <f t="shared" si="6"/>
        <v>24</v>
      </c>
      <c r="V17" s="96">
        <f t="shared" si="7"/>
        <v>140</v>
      </c>
      <c r="W17" s="136">
        <f t="shared" si="8"/>
        <v>5.833333333333333</v>
      </c>
      <c r="X17" s="137">
        <f t="shared" si="9"/>
        <v>5.833333333333333</v>
      </c>
    </row>
    <row r="18" spans="1:24" ht="15">
      <c r="A18" s="6" t="s">
        <v>15</v>
      </c>
      <c r="B18" s="14"/>
      <c r="C18" s="9"/>
      <c r="D18" s="10"/>
      <c r="E18" s="10"/>
      <c r="K18" s="20" t="str">
        <f>'Summary Sheet'!C18</f>
        <v>Number of Studio Bedspaces (non Accessible)</v>
      </c>
      <c r="L18" s="186">
        <v>0</v>
      </c>
      <c r="N18" s="141"/>
      <c r="O18" s="108">
        <f t="shared" si="5"/>
        <v>9</v>
      </c>
      <c r="P18" s="94">
        <f>B234</f>
        <v>27</v>
      </c>
      <c r="Q18" s="94">
        <f>B232</f>
        <v>3</v>
      </c>
      <c r="R18" s="94">
        <f>B242</f>
        <v>3</v>
      </c>
      <c r="S18" s="94">
        <f>C242</f>
        <v>37</v>
      </c>
      <c r="T18" s="94">
        <v>0</v>
      </c>
      <c r="U18" s="95">
        <f t="shared" si="6"/>
        <v>27</v>
      </c>
      <c r="V18" s="96">
        <f t="shared" si="7"/>
        <v>111</v>
      </c>
      <c r="W18" s="136">
        <f t="shared" si="8"/>
        <v>4.111111111111111</v>
      </c>
      <c r="X18" s="137">
        <f t="shared" si="9"/>
        <v>4.111111111111111</v>
      </c>
    </row>
    <row r="19" spans="2:24" ht="15">
      <c r="B19" s="4"/>
      <c r="K19" s="20" t="str">
        <f>'Summary Sheet'!C19</f>
        <v>Total Area of Studio Bedspace (non Accessible)</v>
      </c>
      <c r="L19" s="186">
        <v>0</v>
      </c>
      <c r="N19" s="141"/>
      <c r="O19" s="108">
        <f t="shared" si="5"/>
        <v>6</v>
      </c>
      <c r="P19" s="94">
        <f>B249</f>
        <v>12</v>
      </c>
      <c r="Q19" s="94">
        <f>B247</f>
        <v>2</v>
      </c>
      <c r="R19" s="94">
        <f>B257</f>
        <v>2</v>
      </c>
      <c r="S19" s="94">
        <f>C257</f>
        <v>33</v>
      </c>
      <c r="T19" s="94">
        <v>0</v>
      </c>
      <c r="U19" s="95">
        <f t="shared" si="6"/>
        <v>12</v>
      </c>
      <c r="V19" s="96">
        <f t="shared" si="7"/>
        <v>66</v>
      </c>
      <c r="W19" s="136">
        <f t="shared" si="8"/>
        <v>5.5</v>
      </c>
      <c r="X19" s="137">
        <f t="shared" si="9"/>
        <v>5.5</v>
      </c>
    </row>
    <row r="20" spans="2:24" ht="15">
      <c r="B20" s="4"/>
      <c r="K20" s="20" t="str">
        <f>'Summary Sheet'!C20</f>
        <v>Average Size of Studio Bedspaces (non Accessible)</v>
      </c>
      <c r="L20" s="189">
        <v>0</v>
      </c>
      <c r="N20" s="141"/>
      <c r="O20" s="108">
        <f t="shared" si="5"/>
        <v>7</v>
      </c>
      <c r="P20" s="94">
        <f>B264</f>
        <v>7</v>
      </c>
      <c r="Q20" s="94">
        <f>B262</f>
        <v>1</v>
      </c>
      <c r="R20" s="94">
        <f>B272</f>
        <v>1</v>
      </c>
      <c r="S20" s="94">
        <f>C272</f>
        <v>43</v>
      </c>
      <c r="T20" s="94">
        <v>0</v>
      </c>
      <c r="U20" s="95">
        <f t="shared" si="6"/>
        <v>7</v>
      </c>
      <c r="V20" s="96">
        <f t="shared" si="7"/>
        <v>43</v>
      </c>
      <c r="W20" s="136">
        <f t="shared" si="8"/>
        <v>6.142857142857143</v>
      </c>
      <c r="X20" s="137">
        <f t="shared" si="9"/>
        <v>6.142857142857143</v>
      </c>
    </row>
    <row r="21" spans="1:24" ht="15">
      <c r="A21" s="28" t="s">
        <v>7</v>
      </c>
      <c r="B21" s="20" t="s">
        <v>17</v>
      </c>
      <c r="C21" s="10"/>
      <c r="D21" s="10"/>
      <c r="E21" s="10"/>
      <c r="K21" s="20"/>
      <c r="L21" s="182"/>
      <c r="N21" s="141"/>
      <c r="O21" s="108">
        <f t="shared" si="5"/>
        <v>9</v>
      </c>
      <c r="P21" s="94">
        <f>B279</f>
        <v>36</v>
      </c>
      <c r="Q21" s="94">
        <f>B277</f>
        <v>4</v>
      </c>
      <c r="R21" s="94">
        <f>B287</f>
        <v>4</v>
      </c>
      <c r="S21" s="94">
        <f>C287</f>
        <v>40</v>
      </c>
      <c r="T21" s="94">
        <v>0</v>
      </c>
      <c r="U21" s="95">
        <f t="shared" si="6"/>
        <v>36</v>
      </c>
      <c r="V21" s="96">
        <f t="shared" si="7"/>
        <v>160</v>
      </c>
      <c r="W21" s="136">
        <f t="shared" si="8"/>
        <v>4.444444444444445</v>
      </c>
      <c r="X21" s="137">
        <f t="shared" si="9"/>
        <v>4.444444444444445</v>
      </c>
    </row>
    <row r="22" spans="1:24" ht="15">
      <c r="A22" s="8" t="s">
        <v>51</v>
      </c>
      <c r="B22" s="14">
        <v>1</v>
      </c>
      <c r="C22" s="10"/>
      <c r="D22" s="10"/>
      <c r="E22" s="10"/>
      <c r="K22" s="6" t="str">
        <f>'Summary Sheet'!C24</f>
        <v>Total Number of Bedrooms Inc Accessible</v>
      </c>
      <c r="L22" s="6">
        <f>L10+B11+B26</f>
        <v>523</v>
      </c>
      <c r="N22" s="141"/>
      <c r="O22" s="108">
        <f t="shared" si="5"/>
        <v>6</v>
      </c>
      <c r="P22" s="94">
        <f>B294</f>
        <v>6</v>
      </c>
      <c r="Q22" s="94">
        <f>B292</f>
        <v>1</v>
      </c>
      <c r="R22" s="94">
        <f>B302</f>
        <v>1</v>
      </c>
      <c r="S22" s="94">
        <f>C302</f>
        <v>36</v>
      </c>
      <c r="T22" s="94">
        <v>0</v>
      </c>
      <c r="U22" s="95">
        <f t="shared" si="6"/>
        <v>6</v>
      </c>
      <c r="V22" s="96">
        <f t="shared" si="7"/>
        <v>36</v>
      </c>
      <c r="W22" s="136">
        <f t="shared" si="8"/>
        <v>6</v>
      </c>
      <c r="X22" s="137">
        <f t="shared" si="9"/>
        <v>6</v>
      </c>
    </row>
    <row r="23" spans="1:24" ht="15">
      <c r="A23" s="10"/>
      <c r="B23" s="20" t="s">
        <v>17</v>
      </c>
      <c r="C23" s="6" t="s">
        <v>190</v>
      </c>
      <c r="D23" s="6" t="s">
        <v>191</v>
      </c>
      <c r="E23" s="6" t="s">
        <v>34</v>
      </c>
      <c r="K23" s="6" t="str">
        <f>'Summary Sheet'!C26</f>
        <v>Number of Accessible Bedrooms</v>
      </c>
      <c r="L23" s="6">
        <f>L22-L10</f>
        <v>2</v>
      </c>
      <c r="N23" s="141"/>
      <c r="O23" s="108">
        <f t="shared" si="5"/>
        <v>5</v>
      </c>
      <c r="P23" s="94">
        <f>B309</f>
        <v>5</v>
      </c>
      <c r="Q23" s="94">
        <f>B307</f>
        <v>1</v>
      </c>
      <c r="R23" s="94">
        <f>B317</f>
        <v>1</v>
      </c>
      <c r="S23" s="94">
        <f>C317</f>
        <v>28</v>
      </c>
      <c r="T23" s="94">
        <v>0</v>
      </c>
      <c r="U23" s="95">
        <f t="shared" si="6"/>
        <v>5</v>
      </c>
      <c r="V23" s="96">
        <f t="shared" si="7"/>
        <v>28</v>
      </c>
      <c r="W23" s="136">
        <f t="shared" si="8"/>
        <v>5.6</v>
      </c>
      <c r="X23" s="137">
        <f t="shared" si="9"/>
        <v>5.6</v>
      </c>
    </row>
    <row r="24" spans="1:24" ht="15">
      <c r="A24" s="6" t="s">
        <v>8</v>
      </c>
      <c r="B24" s="14">
        <v>4</v>
      </c>
      <c r="C24" s="9"/>
      <c r="D24" s="9"/>
      <c r="E24" s="9"/>
      <c r="K24" s="198" t="str">
        <f>'Summary Sheet'!C27</f>
        <v>Average Size of Accessible Bedroom</v>
      </c>
      <c r="L24" s="199">
        <f>((C11*B11)+(B26*C26))/2</f>
        <v>36.5</v>
      </c>
      <c r="N24" s="141"/>
      <c r="O24" s="108">
        <f t="shared" si="5"/>
        <v>6</v>
      </c>
      <c r="P24" s="94">
        <f>B325</f>
        <v>18</v>
      </c>
      <c r="Q24" s="94">
        <f>B322</f>
        <v>3</v>
      </c>
      <c r="R24" s="94">
        <f>B332</f>
        <v>3</v>
      </c>
      <c r="S24" s="94">
        <f>C332</f>
        <v>31</v>
      </c>
      <c r="T24" s="94">
        <v>0</v>
      </c>
      <c r="U24" s="95">
        <f t="shared" si="6"/>
        <v>18</v>
      </c>
      <c r="V24" s="96">
        <f t="shared" si="7"/>
        <v>93</v>
      </c>
      <c r="W24" s="136">
        <f t="shared" si="8"/>
        <v>5.166666666666667</v>
      </c>
      <c r="X24" s="137">
        <f t="shared" si="9"/>
        <v>5.166666666666667</v>
      </c>
    </row>
    <row r="25" spans="1:24" ht="15">
      <c r="A25" s="6" t="s">
        <v>9</v>
      </c>
      <c r="B25" s="14">
        <v>3</v>
      </c>
      <c r="C25" s="9">
        <v>14</v>
      </c>
      <c r="D25" s="9"/>
      <c r="E25" s="9"/>
      <c r="K25" s="201"/>
      <c r="L25" s="202"/>
      <c r="N25" s="141"/>
      <c r="O25" s="108">
        <f t="shared" si="5"/>
        <v>6</v>
      </c>
      <c r="P25" s="94">
        <f>B339</f>
        <v>12</v>
      </c>
      <c r="Q25" s="94">
        <f>B337</f>
        <v>2</v>
      </c>
      <c r="R25" s="94">
        <f>B347</f>
        <v>2</v>
      </c>
      <c r="S25" s="94">
        <f>C347</f>
        <v>28</v>
      </c>
      <c r="T25" s="94">
        <v>0</v>
      </c>
      <c r="U25" s="95">
        <f t="shared" si="6"/>
        <v>12</v>
      </c>
      <c r="V25" s="96">
        <f t="shared" si="7"/>
        <v>56</v>
      </c>
      <c r="W25" s="136">
        <f t="shared" si="8"/>
        <v>4.666666666666667</v>
      </c>
      <c r="X25" s="137">
        <f t="shared" si="9"/>
        <v>4.666666666666667</v>
      </c>
    </row>
    <row r="26" spans="1:24" ht="15">
      <c r="A26" s="6" t="s">
        <v>10</v>
      </c>
      <c r="B26" s="14">
        <v>1</v>
      </c>
      <c r="C26" s="9">
        <v>29</v>
      </c>
      <c r="D26" s="9"/>
      <c r="E26" s="9" t="s">
        <v>35</v>
      </c>
      <c r="K26" s="12"/>
      <c r="L26" s="12"/>
      <c r="N26" s="141"/>
      <c r="O26" s="108">
        <f t="shared" si="5"/>
        <v>8</v>
      </c>
      <c r="P26" s="94">
        <f>B354</f>
        <v>24</v>
      </c>
      <c r="Q26" s="94">
        <f>B352</f>
        <v>3</v>
      </c>
      <c r="R26" s="94">
        <f>B362</f>
        <v>3</v>
      </c>
      <c r="S26" s="94">
        <f>C362</f>
        <v>27</v>
      </c>
      <c r="T26" s="94">
        <v>0</v>
      </c>
      <c r="U26" s="95">
        <f t="shared" si="6"/>
        <v>24</v>
      </c>
      <c r="V26" s="96">
        <f t="shared" si="7"/>
        <v>81</v>
      </c>
      <c r="W26" s="136">
        <f t="shared" si="8"/>
        <v>3.375</v>
      </c>
      <c r="X26" s="137">
        <f t="shared" si="9"/>
        <v>3.375</v>
      </c>
    </row>
    <row r="27" spans="1:24" ht="15">
      <c r="A27" s="6" t="s">
        <v>11</v>
      </c>
      <c r="B27" s="14"/>
      <c r="C27" s="9"/>
      <c r="D27" s="9"/>
      <c r="E27" s="9"/>
      <c r="N27" s="141"/>
      <c r="O27" s="108">
        <f t="shared" si="5"/>
        <v>8</v>
      </c>
      <c r="P27" s="94">
        <f>B369</f>
        <v>24</v>
      </c>
      <c r="Q27" s="94">
        <f>B367</f>
        <v>3</v>
      </c>
      <c r="R27" s="94">
        <f>B377</f>
        <v>3</v>
      </c>
      <c r="S27" s="94">
        <f>C377</f>
        <v>29</v>
      </c>
      <c r="T27" s="94">
        <v>0</v>
      </c>
      <c r="U27" s="95">
        <f t="shared" si="6"/>
        <v>24</v>
      </c>
      <c r="V27" s="96">
        <f t="shared" si="7"/>
        <v>87</v>
      </c>
      <c r="W27" s="136">
        <f t="shared" si="8"/>
        <v>3.625</v>
      </c>
      <c r="X27" s="137">
        <f t="shared" si="9"/>
        <v>3.625</v>
      </c>
    </row>
    <row r="28" spans="1:24" ht="15">
      <c r="A28" s="6" t="s">
        <v>12</v>
      </c>
      <c r="B28" s="14"/>
      <c r="C28" s="9"/>
      <c r="D28" s="9"/>
      <c r="E28" s="9"/>
      <c r="N28" s="141"/>
      <c r="O28" s="108">
        <f t="shared" si="5"/>
        <v>6.666666666666667</v>
      </c>
      <c r="P28" s="94">
        <f>B384</f>
        <v>20</v>
      </c>
      <c r="Q28" s="94">
        <f>B382</f>
        <v>3</v>
      </c>
      <c r="R28" s="94">
        <f>B392</f>
        <v>3</v>
      </c>
      <c r="S28" s="94">
        <f>C392</f>
        <v>28</v>
      </c>
      <c r="T28" s="94">
        <v>0</v>
      </c>
      <c r="U28" s="95">
        <f t="shared" si="6"/>
        <v>20</v>
      </c>
      <c r="V28" s="96">
        <f t="shared" si="7"/>
        <v>84</v>
      </c>
      <c r="W28" s="136">
        <f t="shared" si="8"/>
        <v>4.2</v>
      </c>
      <c r="X28" s="137">
        <f t="shared" si="9"/>
        <v>4.2</v>
      </c>
    </row>
    <row r="29" spans="1:24" ht="15">
      <c r="A29" s="6" t="s">
        <v>13</v>
      </c>
      <c r="B29" s="14"/>
      <c r="C29" s="9"/>
      <c r="D29" s="9"/>
      <c r="E29" s="9"/>
      <c r="N29" s="141"/>
      <c r="O29" s="108">
        <f t="shared" si="5"/>
        <v>5.333333333333333</v>
      </c>
      <c r="P29" s="94">
        <f>B399</f>
        <v>16</v>
      </c>
      <c r="Q29" s="94">
        <f>B397</f>
        <v>3</v>
      </c>
      <c r="R29" s="94">
        <f>B407</f>
        <v>3</v>
      </c>
      <c r="S29" s="94">
        <f>C407</f>
        <v>31</v>
      </c>
      <c r="T29" s="94">
        <v>0</v>
      </c>
      <c r="U29" s="95">
        <f t="shared" si="6"/>
        <v>16</v>
      </c>
      <c r="V29" s="96">
        <f t="shared" si="7"/>
        <v>93</v>
      </c>
      <c r="W29" s="136">
        <f t="shared" si="8"/>
        <v>5.8125</v>
      </c>
      <c r="X29" s="137">
        <f t="shared" si="9"/>
        <v>5.8125</v>
      </c>
    </row>
    <row r="30" spans="1:24" ht="15">
      <c r="A30" s="6" t="s">
        <v>14</v>
      </c>
      <c r="B30" s="14"/>
      <c r="C30" s="9"/>
      <c r="D30" s="9"/>
      <c r="E30" s="9"/>
      <c r="N30" s="141"/>
      <c r="O30" s="108">
        <f t="shared" si="5"/>
        <v>6</v>
      </c>
      <c r="P30" s="94">
        <f>B414</f>
        <v>36</v>
      </c>
      <c r="Q30" s="94">
        <f>B412</f>
        <v>6</v>
      </c>
      <c r="R30" s="94">
        <f>B422</f>
        <v>6</v>
      </c>
      <c r="S30" s="94">
        <f>C422</f>
        <v>30</v>
      </c>
      <c r="T30" s="94">
        <v>0</v>
      </c>
      <c r="U30" s="95">
        <f t="shared" si="6"/>
        <v>36</v>
      </c>
      <c r="V30" s="96">
        <f t="shared" si="7"/>
        <v>180</v>
      </c>
      <c r="W30" s="136">
        <f t="shared" si="8"/>
        <v>5</v>
      </c>
      <c r="X30" s="137">
        <f t="shared" si="9"/>
        <v>5</v>
      </c>
    </row>
    <row r="31" spans="1:24" ht="15">
      <c r="A31" s="10"/>
      <c r="B31" s="20" t="s">
        <v>17</v>
      </c>
      <c r="C31" s="6" t="s">
        <v>18</v>
      </c>
      <c r="D31" s="10"/>
      <c r="E31" s="10"/>
      <c r="N31" s="141"/>
      <c r="O31" s="108">
        <f t="shared" si="5"/>
        <v>5.6</v>
      </c>
      <c r="P31" s="94">
        <f>B429</f>
        <v>28</v>
      </c>
      <c r="Q31" s="94">
        <f>B427</f>
        <v>5</v>
      </c>
      <c r="R31" s="94">
        <f>B437</f>
        <v>5</v>
      </c>
      <c r="S31" s="94">
        <f>C437</f>
        <v>28</v>
      </c>
      <c r="T31" s="94">
        <v>0</v>
      </c>
      <c r="U31" s="95">
        <f t="shared" si="6"/>
        <v>28</v>
      </c>
      <c r="V31" s="96">
        <f t="shared" si="7"/>
        <v>140</v>
      </c>
      <c r="W31" s="136">
        <f t="shared" si="8"/>
        <v>5</v>
      </c>
      <c r="X31" s="137">
        <f t="shared" si="9"/>
        <v>5</v>
      </c>
    </row>
    <row r="32" spans="1:24" ht="15">
      <c r="A32" s="6" t="s">
        <v>16</v>
      </c>
      <c r="B32" s="14">
        <v>1</v>
      </c>
      <c r="C32" s="9">
        <v>35</v>
      </c>
      <c r="D32" s="10"/>
      <c r="E32" s="10"/>
      <c r="N32" s="141"/>
      <c r="O32" s="108">
        <f t="shared" si="5"/>
        <v>5.333333333333333</v>
      </c>
      <c r="P32" s="94">
        <f>B444</f>
        <v>16</v>
      </c>
      <c r="Q32" s="94">
        <f>B442</f>
        <v>3</v>
      </c>
      <c r="R32" s="94">
        <f>B452</f>
        <v>3</v>
      </c>
      <c r="S32" s="94">
        <f>C452</f>
        <v>28</v>
      </c>
      <c r="T32" s="94">
        <v>0</v>
      </c>
      <c r="U32" s="95">
        <f t="shared" si="6"/>
        <v>16</v>
      </c>
      <c r="V32" s="96">
        <f t="shared" si="7"/>
        <v>84</v>
      </c>
      <c r="W32" s="136">
        <f t="shared" si="8"/>
        <v>5.25</v>
      </c>
      <c r="X32" s="137">
        <f t="shared" si="9"/>
        <v>5.25</v>
      </c>
    </row>
    <row r="33" spans="1:24" ht="15">
      <c r="A33" s="6" t="s">
        <v>15</v>
      </c>
      <c r="B33" s="14"/>
      <c r="C33" s="9"/>
      <c r="D33" s="10"/>
      <c r="E33" s="10"/>
      <c r="N33" s="141"/>
      <c r="O33" s="108">
        <f t="shared" si="5"/>
        <v>6</v>
      </c>
      <c r="P33" s="94">
        <f>B459</f>
        <v>24</v>
      </c>
      <c r="Q33" s="94">
        <f>B457</f>
        <v>4</v>
      </c>
      <c r="R33" s="94">
        <f>B467</f>
        <v>4</v>
      </c>
      <c r="S33" s="94">
        <f>C467</f>
        <v>28</v>
      </c>
      <c r="T33" s="94">
        <v>0</v>
      </c>
      <c r="U33" s="95">
        <f t="shared" si="6"/>
        <v>24</v>
      </c>
      <c r="V33" s="96">
        <f t="shared" si="7"/>
        <v>112</v>
      </c>
      <c r="W33" s="136">
        <f t="shared" si="8"/>
        <v>4.666666666666667</v>
      </c>
      <c r="X33" s="137">
        <f t="shared" si="9"/>
        <v>4.666666666666667</v>
      </c>
    </row>
    <row r="34" spans="2:24" ht="15">
      <c r="B34" s="4"/>
      <c r="N34" s="141"/>
      <c r="O34" s="108">
        <f t="shared" si="5"/>
        <v>3.2</v>
      </c>
      <c r="P34" s="94">
        <f>B474</f>
        <v>16</v>
      </c>
      <c r="Q34" s="94">
        <f>B472</f>
        <v>5</v>
      </c>
      <c r="R34" s="94">
        <f>B482</f>
        <v>5</v>
      </c>
      <c r="S34" s="94">
        <f>C482</f>
        <v>28</v>
      </c>
      <c r="T34" s="94">
        <v>0</v>
      </c>
      <c r="U34" s="95">
        <f t="shared" si="6"/>
        <v>16</v>
      </c>
      <c r="V34" s="96">
        <f t="shared" si="7"/>
        <v>140</v>
      </c>
      <c r="W34" s="136">
        <f t="shared" si="8"/>
        <v>8.75</v>
      </c>
      <c r="X34" s="137">
        <f t="shared" si="9"/>
        <v>8.75</v>
      </c>
    </row>
    <row r="35" spans="2:24" ht="15.75" thickBot="1">
      <c r="B35" s="4"/>
      <c r="N35" s="144"/>
      <c r="O35" s="125"/>
      <c r="P35" s="97"/>
      <c r="Q35" s="97"/>
      <c r="R35" s="97"/>
      <c r="S35" s="97"/>
      <c r="T35" s="97"/>
      <c r="U35" s="116"/>
      <c r="V35" s="117"/>
      <c r="W35" s="138"/>
      <c r="X35" s="139"/>
    </row>
    <row r="36" spans="1:5" ht="15.75" thickBot="1">
      <c r="A36" s="28" t="s">
        <v>7</v>
      </c>
      <c r="B36" s="20" t="s">
        <v>17</v>
      </c>
      <c r="C36" s="10"/>
      <c r="D36" s="10"/>
      <c r="E36" s="10"/>
    </row>
    <row r="37" spans="1:24" ht="15">
      <c r="A37" s="8" t="s">
        <v>52</v>
      </c>
      <c r="B37" s="14">
        <v>3</v>
      </c>
      <c r="C37" s="10"/>
      <c r="D37" s="10"/>
      <c r="E37" s="10"/>
      <c r="N37" s="131">
        <f>'Summary Sheet'!D34</f>
        <v>3</v>
      </c>
      <c r="O37" s="153"/>
      <c r="P37" s="145">
        <f aca="true" t="shared" si="10" ref="P37:V37">SUMIF($O$3:$O$35,$N37,P$3:P$35)</f>
        <v>0</v>
      </c>
      <c r="Q37" s="145">
        <f t="shared" si="10"/>
        <v>0</v>
      </c>
      <c r="R37" s="145">
        <f t="shared" si="10"/>
        <v>0</v>
      </c>
      <c r="S37" s="145">
        <f t="shared" si="10"/>
        <v>0</v>
      </c>
      <c r="T37" s="145">
        <f t="shared" si="10"/>
        <v>0</v>
      </c>
      <c r="U37" s="145">
        <f t="shared" si="10"/>
        <v>0</v>
      </c>
      <c r="V37" s="146">
        <f t="shared" si="10"/>
        <v>0</v>
      </c>
      <c r="W37" s="147">
        <f>_xlfn.IFERROR(V37/P37,"")</f>
      </c>
      <c r="X37" s="148">
        <f>_xlfn.IFERROR(V37/U37,"")</f>
      </c>
    </row>
    <row r="38" spans="1:24" ht="15">
      <c r="A38" s="10"/>
      <c r="B38" s="20" t="s">
        <v>17</v>
      </c>
      <c r="C38" s="6" t="s">
        <v>190</v>
      </c>
      <c r="D38" s="6" t="s">
        <v>191</v>
      </c>
      <c r="E38" s="6" t="s">
        <v>34</v>
      </c>
      <c r="N38" s="132">
        <f>'Summary Sheet'!D35</f>
        <v>4</v>
      </c>
      <c r="O38" s="154"/>
      <c r="P38" s="96">
        <f>SUMIF($O$3:O36,N38,$P$3:$P$35)</f>
        <v>32</v>
      </c>
      <c r="Q38" s="96">
        <f aca="true" t="shared" si="11" ref="Q38:V44">SUMIF($O$3:$O$35,$N38,Q$3:Q$35)</f>
        <v>8</v>
      </c>
      <c r="R38" s="96">
        <f t="shared" si="11"/>
        <v>8</v>
      </c>
      <c r="S38" s="96">
        <f t="shared" si="11"/>
        <v>171</v>
      </c>
      <c r="T38" s="96">
        <f t="shared" si="11"/>
        <v>2</v>
      </c>
      <c r="U38" s="96">
        <f t="shared" si="11"/>
        <v>30</v>
      </c>
      <c r="V38" s="149">
        <f t="shared" si="11"/>
        <v>267</v>
      </c>
      <c r="W38" s="150">
        <f aca="true" t="shared" si="12" ref="W38:W44">_xlfn.IFERROR(V38/P38,"")</f>
        <v>8.34375</v>
      </c>
      <c r="X38" s="137">
        <f aca="true" t="shared" si="13" ref="X38:X44">_xlfn.IFERROR(V38/U38,"")</f>
        <v>8.9</v>
      </c>
    </row>
    <row r="39" spans="1:24" ht="15">
      <c r="A39" s="6" t="s">
        <v>8</v>
      </c>
      <c r="B39" s="14">
        <v>15</v>
      </c>
      <c r="C39" s="9"/>
      <c r="D39" s="9"/>
      <c r="E39" s="9"/>
      <c r="N39" s="132">
        <f>'Summary Sheet'!D36</f>
        <v>5</v>
      </c>
      <c r="O39" s="154"/>
      <c r="P39" s="96">
        <f>SUMIF($O$3:O37,N39,$P$3:$P$35)</f>
        <v>25</v>
      </c>
      <c r="Q39" s="96">
        <f t="shared" si="11"/>
        <v>5</v>
      </c>
      <c r="R39" s="96">
        <f t="shared" si="11"/>
        <v>5</v>
      </c>
      <c r="S39" s="96">
        <f t="shared" si="11"/>
        <v>97</v>
      </c>
      <c r="T39" s="96">
        <f t="shared" si="11"/>
        <v>0</v>
      </c>
      <c r="U39" s="96">
        <f t="shared" si="11"/>
        <v>25</v>
      </c>
      <c r="V39" s="149">
        <f t="shared" si="11"/>
        <v>165</v>
      </c>
      <c r="W39" s="150">
        <f t="shared" si="12"/>
        <v>6.6</v>
      </c>
      <c r="X39" s="137">
        <f t="shared" si="13"/>
        <v>6.6</v>
      </c>
    </row>
    <row r="40" spans="1:24" ht="15">
      <c r="A40" s="6" t="s">
        <v>9</v>
      </c>
      <c r="B40" s="14">
        <v>12</v>
      </c>
      <c r="C40" s="9">
        <v>14</v>
      </c>
      <c r="D40" s="9"/>
      <c r="E40" s="9"/>
      <c r="N40" s="132">
        <f>'Summary Sheet'!D37</f>
        <v>6</v>
      </c>
      <c r="O40" s="154"/>
      <c r="P40" s="96">
        <f>SUMIF($O$3:O38,N40,$P$3:$P$35)</f>
        <v>252</v>
      </c>
      <c r="Q40" s="96">
        <f t="shared" si="11"/>
        <v>42</v>
      </c>
      <c r="R40" s="96">
        <f t="shared" si="11"/>
        <v>42</v>
      </c>
      <c r="S40" s="96">
        <f t="shared" si="11"/>
        <v>465</v>
      </c>
      <c r="T40" s="96">
        <f t="shared" si="11"/>
        <v>0</v>
      </c>
      <c r="U40" s="96">
        <f t="shared" si="11"/>
        <v>252</v>
      </c>
      <c r="V40" s="149">
        <f t="shared" si="11"/>
        <v>1382</v>
      </c>
      <c r="W40" s="150">
        <f t="shared" si="12"/>
        <v>5.484126984126984</v>
      </c>
      <c r="X40" s="137">
        <f t="shared" si="13"/>
        <v>5.484126984126984</v>
      </c>
    </row>
    <row r="41" spans="1:24" ht="15">
      <c r="A41" s="6" t="s">
        <v>10</v>
      </c>
      <c r="B41" s="14">
        <v>3</v>
      </c>
      <c r="C41" s="9">
        <v>28</v>
      </c>
      <c r="D41" s="9"/>
      <c r="E41" s="9"/>
      <c r="N41" s="132">
        <f>'Summary Sheet'!D38</f>
        <v>7</v>
      </c>
      <c r="O41" s="154"/>
      <c r="P41" s="96">
        <f>SUMIF($O$3:O39,N41,$P$3:$P$35)</f>
        <v>7</v>
      </c>
      <c r="Q41" s="96">
        <f t="shared" si="11"/>
        <v>1</v>
      </c>
      <c r="R41" s="96">
        <f t="shared" si="11"/>
        <v>1</v>
      </c>
      <c r="S41" s="96">
        <f t="shared" si="11"/>
        <v>43</v>
      </c>
      <c r="T41" s="96">
        <f t="shared" si="11"/>
        <v>0</v>
      </c>
      <c r="U41" s="96">
        <f t="shared" si="11"/>
        <v>7</v>
      </c>
      <c r="V41" s="149">
        <f t="shared" si="11"/>
        <v>43</v>
      </c>
      <c r="W41" s="150">
        <f t="shared" si="12"/>
        <v>6.142857142857143</v>
      </c>
      <c r="X41" s="137">
        <f t="shared" si="13"/>
        <v>6.142857142857143</v>
      </c>
    </row>
    <row r="42" spans="1:24" ht="15">
      <c r="A42" s="6" t="s">
        <v>11</v>
      </c>
      <c r="B42" s="14"/>
      <c r="C42" s="9"/>
      <c r="D42" s="9"/>
      <c r="E42" s="9"/>
      <c r="N42" s="132">
        <f>'Summary Sheet'!D39</f>
        <v>8</v>
      </c>
      <c r="O42" s="154"/>
      <c r="P42" s="96">
        <f>SUMIF($O$3:O40,N42,$P$3:$P$35)</f>
        <v>48</v>
      </c>
      <c r="Q42" s="96">
        <f t="shared" si="11"/>
        <v>6</v>
      </c>
      <c r="R42" s="96">
        <f t="shared" si="11"/>
        <v>6</v>
      </c>
      <c r="S42" s="96">
        <f t="shared" si="11"/>
        <v>56</v>
      </c>
      <c r="T42" s="96">
        <f t="shared" si="11"/>
        <v>0</v>
      </c>
      <c r="U42" s="96">
        <f t="shared" si="11"/>
        <v>48</v>
      </c>
      <c r="V42" s="149">
        <f t="shared" si="11"/>
        <v>168</v>
      </c>
      <c r="W42" s="150">
        <f t="shared" si="12"/>
        <v>3.5</v>
      </c>
      <c r="X42" s="137">
        <f t="shared" si="13"/>
        <v>3.5</v>
      </c>
    </row>
    <row r="43" spans="1:24" ht="15">
      <c r="A43" s="6" t="s">
        <v>12</v>
      </c>
      <c r="B43" s="14"/>
      <c r="C43" s="9"/>
      <c r="D43" s="9"/>
      <c r="E43" s="9"/>
      <c r="N43" s="132">
        <f>'Summary Sheet'!D40</f>
        <v>9</v>
      </c>
      <c r="O43" s="154"/>
      <c r="P43" s="96">
        <f>SUMIF($O$3:O41,N43,$P$3:$P$35)</f>
        <v>63</v>
      </c>
      <c r="Q43" s="96">
        <f t="shared" si="11"/>
        <v>7</v>
      </c>
      <c r="R43" s="96">
        <f t="shared" si="11"/>
        <v>7</v>
      </c>
      <c r="S43" s="96">
        <f t="shared" si="11"/>
        <v>77</v>
      </c>
      <c r="T43" s="96">
        <f t="shared" si="11"/>
        <v>0</v>
      </c>
      <c r="U43" s="96">
        <f t="shared" si="11"/>
        <v>63</v>
      </c>
      <c r="V43" s="149">
        <f t="shared" si="11"/>
        <v>271</v>
      </c>
      <c r="W43" s="150">
        <f t="shared" si="12"/>
        <v>4.301587301587301</v>
      </c>
      <c r="X43" s="137">
        <f t="shared" si="13"/>
        <v>4.301587301587301</v>
      </c>
    </row>
    <row r="44" spans="1:24" ht="15.75" thickBot="1">
      <c r="A44" s="6" t="s">
        <v>13</v>
      </c>
      <c r="B44" s="14"/>
      <c r="C44" s="9"/>
      <c r="D44" s="9"/>
      <c r="E44" s="9"/>
      <c r="N44" s="133">
        <f>'Summary Sheet'!D41</f>
        <v>10</v>
      </c>
      <c r="O44" s="155"/>
      <c r="P44" s="117">
        <f>SUMIF($O$3:O42,N44,$P$3:$P$35)</f>
        <v>0</v>
      </c>
      <c r="Q44" s="117">
        <f t="shared" si="11"/>
        <v>0</v>
      </c>
      <c r="R44" s="117">
        <f t="shared" si="11"/>
        <v>0</v>
      </c>
      <c r="S44" s="117">
        <f t="shared" si="11"/>
        <v>0</v>
      </c>
      <c r="T44" s="117">
        <f t="shared" si="11"/>
        <v>0</v>
      </c>
      <c r="U44" s="117">
        <f t="shared" si="11"/>
        <v>0</v>
      </c>
      <c r="V44" s="151">
        <f t="shared" si="11"/>
        <v>0</v>
      </c>
      <c r="W44" s="152">
        <f t="shared" si="12"/>
      </c>
      <c r="X44" s="139">
        <f t="shared" si="13"/>
      </c>
    </row>
    <row r="45" spans="1:5" ht="15">
      <c r="A45" s="6" t="s">
        <v>14</v>
      </c>
      <c r="B45" s="14"/>
      <c r="C45" s="9"/>
      <c r="D45" s="9"/>
      <c r="E45" s="9"/>
    </row>
    <row r="46" spans="1:5" ht="15">
      <c r="A46" s="10"/>
      <c r="B46" s="20" t="s">
        <v>17</v>
      </c>
      <c r="C46" s="6" t="s">
        <v>18</v>
      </c>
      <c r="D46" s="10"/>
      <c r="E46" s="10"/>
    </row>
    <row r="47" spans="1:5" ht="15">
      <c r="A47" s="6" t="s">
        <v>16</v>
      </c>
      <c r="B47" s="14">
        <v>3</v>
      </c>
      <c r="C47" s="9">
        <v>34</v>
      </c>
      <c r="D47" s="10"/>
      <c r="E47" s="10"/>
    </row>
    <row r="48" spans="1:5" ht="15">
      <c r="A48" s="6" t="s">
        <v>15</v>
      </c>
      <c r="B48" s="14"/>
      <c r="C48" s="9"/>
      <c r="D48" s="10"/>
      <c r="E48" s="10"/>
    </row>
    <row r="49" ht="15">
      <c r="B49" s="4"/>
    </row>
    <row r="50" ht="15">
      <c r="B50" s="4"/>
    </row>
    <row r="51" spans="1:5" ht="15">
      <c r="A51" s="28" t="s">
        <v>7</v>
      </c>
      <c r="B51" s="20" t="s">
        <v>17</v>
      </c>
      <c r="C51" s="10"/>
      <c r="D51" s="10"/>
      <c r="E51" s="10"/>
    </row>
    <row r="52" spans="1:5" ht="15">
      <c r="A52" s="8" t="s">
        <v>54</v>
      </c>
      <c r="B52" s="14">
        <v>4</v>
      </c>
      <c r="C52" s="10"/>
      <c r="D52" s="10"/>
      <c r="E52" s="10"/>
    </row>
    <row r="53" spans="1:5" ht="15">
      <c r="A53" s="10"/>
      <c r="B53" s="20" t="s">
        <v>17</v>
      </c>
      <c r="C53" s="6" t="s">
        <v>190</v>
      </c>
      <c r="D53" s="6" t="s">
        <v>191</v>
      </c>
      <c r="E53" s="6" t="s">
        <v>34</v>
      </c>
    </row>
    <row r="54" spans="1:5" ht="15">
      <c r="A54" s="6" t="s">
        <v>8</v>
      </c>
      <c r="B54" s="14">
        <v>24</v>
      </c>
      <c r="C54" s="9"/>
      <c r="D54" s="9"/>
      <c r="E54" s="9"/>
    </row>
    <row r="55" spans="1:5" ht="15">
      <c r="A55" s="6" t="s">
        <v>9</v>
      </c>
      <c r="B55" s="14">
        <v>24</v>
      </c>
      <c r="C55" s="9">
        <v>14</v>
      </c>
      <c r="D55" s="9"/>
      <c r="E55" s="9"/>
    </row>
    <row r="56" spans="1:5" ht="15">
      <c r="A56" s="6" t="s">
        <v>10</v>
      </c>
      <c r="B56" s="14"/>
      <c r="C56" s="9"/>
      <c r="D56" s="9"/>
      <c r="E56" s="9"/>
    </row>
    <row r="57" spans="1:5" ht="15">
      <c r="A57" s="6" t="s">
        <v>11</v>
      </c>
      <c r="B57" s="14"/>
      <c r="C57" s="9"/>
      <c r="D57" s="9"/>
      <c r="E57" s="9"/>
    </row>
    <row r="58" spans="1:5" ht="15">
      <c r="A58" s="6" t="s">
        <v>12</v>
      </c>
      <c r="B58" s="14"/>
      <c r="C58" s="9"/>
      <c r="D58" s="9"/>
      <c r="E58" s="9"/>
    </row>
    <row r="59" spans="1:5" ht="15">
      <c r="A59" s="6" t="s">
        <v>13</v>
      </c>
      <c r="B59" s="14"/>
      <c r="C59" s="9"/>
      <c r="D59" s="9"/>
      <c r="E59" s="9"/>
    </row>
    <row r="60" spans="1:5" ht="15">
      <c r="A60" s="6" t="s">
        <v>14</v>
      </c>
      <c r="B60" s="14"/>
      <c r="C60" s="9"/>
      <c r="D60" s="9"/>
      <c r="E60" s="9"/>
    </row>
    <row r="61" spans="1:5" ht="15">
      <c r="A61" s="10"/>
      <c r="B61" s="20" t="s">
        <v>17</v>
      </c>
      <c r="C61" s="6" t="s">
        <v>18</v>
      </c>
      <c r="D61" s="10"/>
      <c r="E61" s="10"/>
    </row>
    <row r="62" spans="1:5" ht="15">
      <c r="A62" s="6" t="s">
        <v>16</v>
      </c>
      <c r="B62" s="14">
        <v>4</v>
      </c>
      <c r="C62" s="9">
        <v>35</v>
      </c>
      <c r="D62" s="10"/>
      <c r="E62" s="10"/>
    </row>
    <row r="63" spans="1:5" ht="15">
      <c r="A63" s="6" t="s">
        <v>15</v>
      </c>
      <c r="B63" s="14"/>
      <c r="C63" s="9"/>
      <c r="D63" s="10"/>
      <c r="E63" s="10"/>
    </row>
    <row r="64" ht="15">
      <c r="B64" s="4"/>
    </row>
    <row r="65" ht="15">
      <c r="B65" s="4"/>
    </row>
    <row r="66" spans="1:5" ht="15">
      <c r="A66" s="28" t="s">
        <v>7</v>
      </c>
      <c r="B66" s="20" t="s">
        <v>17</v>
      </c>
      <c r="C66" s="10"/>
      <c r="D66" s="10"/>
      <c r="E66" s="10"/>
    </row>
    <row r="67" spans="1:5" ht="15">
      <c r="A67" s="8" t="s">
        <v>53</v>
      </c>
      <c r="B67" s="14">
        <v>1</v>
      </c>
      <c r="C67" s="10"/>
      <c r="D67" s="10"/>
      <c r="E67" s="10"/>
    </row>
    <row r="68" spans="1:5" ht="15">
      <c r="A68" s="10"/>
      <c r="B68" s="20" t="s">
        <v>17</v>
      </c>
      <c r="C68" s="6" t="s">
        <v>190</v>
      </c>
      <c r="D68" s="6" t="s">
        <v>191</v>
      </c>
      <c r="E68" s="6" t="s">
        <v>34</v>
      </c>
    </row>
    <row r="69" spans="1:5" ht="15">
      <c r="A69" s="6" t="s">
        <v>8</v>
      </c>
      <c r="B69" s="14">
        <v>6</v>
      </c>
      <c r="C69" s="9"/>
      <c r="D69" s="9"/>
      <c r="E69" s="9"/>
    </row>
    <row r="70" spans="1:5" ht="15">
      <c r="A70" s="6" t="s">
        <v>9</v>
      </c>
      <c r="B70" s="14">
        <v>6</v>
      </c>
      <c r="C70" s="9">
        <v>14</v>
      </c>
      <c r="D70" s="9"/>
      <c r="E70" s="9"/>
    </row>
    <row r="71" spans="1:5" ht="15">
      <c r="A71" s="6" t="s">
        <v>10</v>
      </c>
      <c r="B71" s="14"/>
      <c r="C71" s="9"/>
      <c r="D71" s="9"/>
      <c r="E71" s="9"/>
    </row>
    <row r="72" spans="1:5" ht="15">
      <c r="A72" s="6" t="s">
        <v>11</v>
      </c>
      <c r="B72" s="14"/>
      <c r="C72" s="9"/>
      <c r="D72" s="9"/>
      <c r="E72" s="9"/>
    </row>
    <row r="73" spans="1:5" ht="15">
      <c r="A73" s="6" t="s">
        <v>12</v>
      </c>
      <c r="B73" s="14"/>
      <c r="C73" s="9"/>
      <c r="D73" s="9"/>
      <c r="E73" s="9"/>
    </row>
    <row r="74" spans="1:5" ht="15">
      <c r="A74" s="6" t="s">
        <v>13</v>
      </c>
      <c r="B74" s="14"/>
      <c r="C74" s="9"/>
      <c r="D74" s="9"/>
      <c r="E74" s="9"/>
    </row>
    <row r="75" spans="1:5" ht="15">
      <c r="A75" s="6" t="s">
        <v>14</v>
      </c>
      <c r="B75" s="14"/>
      <c r="C75" s="9"/>
      <c r="D75" s="9"/>
      <c r="E75" s="9"/>
    </row>
    <row r="76" spans="1:5" ht="15">
      <c r="A76" s="10"/>
      <c r="B76" s="20" t="s">
        <v>17</v>
      </c>
      <c r="C76" s="6" t="s">
        <v>18</v>
      </c>
      <c r="D76" s="10"/>
      <c r="E76" s="10"/>
    </row>
    <row r="77" spans="1:5" ht="15">
      <c r="A77" s="6" t="s">
        <v>16</v>
      </c>
      <c r="B77" s="14">
        <v>1</v>
      </c>
      <c r="C77" s="9">
        <v>34</v>
      </c>
      <c r="D77" s="10"/>
      <c r="E77" s="10"/>
    </row>
    <row r="78" spans="1:5" ht="15">
      <c r="A78" s="6" t="s">
        <v>15</v>
      </c>
      <c r="B78" s="14"/>
      <c r="C78" s="9"/>
      <c r="D78" s="10"/>
      <c r="E78" s="10"/>
    </row>
    <row r="79" ht="15">
      <c r="B79" s="4"/>
    </row>
    <row r="80" ht="15">
      <c r="B80" s="4"/>
    </row>
    <row r="81" spans="1:5" ht="15">
      <c r="A81" s="28" t="s">
        <v>7</v>
      </c>
      <c r="B81" s="20" t="s">
        <v>17</v>
      </c>
      <c r="C81" s="10"/>
      <c r="D81" s="10"/>
      <c r="E81" s="10"/>
    </row>
    <row r="82" spans="1:5" ht="15">
      <c r="A82" s="8" t="s">
        <v>55</v>
      </c>
      <c r="B82" s="14">
        <v>1</v>
      </c>
      <c r="C82" s="10"/>
      <c r="D82" s="10"/>
      <c r="E82" s="10"/>
    </row>
    <row r="83" spans="1:5" ht="15">
      <c r="A83" s="10"/>
      <c r="B83" s="20" t="s">
        <v>17</v>
      </c>
      <c r="C83" s="6" t="s">
        <v>190</v>
      </c>
      <c r="D83" s="6" t="s">
        <v>191</v>
      </c>
      <c r="E83" s="6" t="s">
        <v>34</v>
      </c>
    </row>
    <row r="84" spans="1:5" ht="15">
      <c r="A84" s="6" t="s">
        <v>8</v>
      </c>
      <c r="B84" s="14">
        <v>4</v>
      </c>
      <c r="C84" s="9"/>
      <c r="D84" s="9"/>
      <c r="E84" s="9"/>
    </row>
    <row r="85" spans="1:5" ht="15">
      <c r="A85" s="6" t="s">
        <v>9</v>
      </c>
      <c r="B85" s="14">
        <v>4</v>
      </c>
      <c r="C85" s="9">
        <v>14</v>
      </c>
      <c r="D85" s="9"/>
      <c r="E85" s="9"/>
    </row>
    <row r="86" spans="1:5" ht="15">
      <c r="A86" s="6" t="s">
        <v>10</v>
      </c>
      <c r="B86" s="14"/>
      <c r="C86" s="9"/>
      <c r="D86" s="9"/>
      <c r="E86" s="9"/>
    </row>
    <row r="87" spans="1:5" ht="15">
      <c r="A87" s="6" t="s">
        <v>11</v>
      </c>
      <c r="B87" s="14"/>
      <c r="C87" s="9"/>
      <c r="D87" s="9"/>
      <c r="E87" s="9"/>
    </row>
    <row r="88" spans="1:5" ht="15">
      <c r="A88" s="6" t="s">
        <v>12</v>
      </c>
      <c r="B88" s="14"/>
      <c r="C88" s="9"/>
      <c r="D88" s="9"/>
      <c r="E88" s="9"/>
    </row>
    <row r="89" spans="1:5" ht="15">
      <c r="A89" s="6" t="s">
        <v>13</v>
      </c>
      <c r="B89" s="14"/>
      <c r="C89" s="9"/>
      <c r="D89" s="9"/>
      <c r="E89" s="9"/>
    </row>
    <row r="90" spans="1:5" ht="15">
      <c r="A90" s="6" t="s">
        <v>14</v>
      </c>
      <c r="B90" s="14"/>
      <c r="C90" s="9"/>
      <c r="D90" s="9"/>
      <c r="E90" s="9"/>
    </row>
    <row r="91" spans="1:5" ht="15">
      <c r="A91" s="10"/>
      <c r="B91" s="20" t="s">
        <v>17</v>
      </c>
      <c r="C91" s="6" t="s">
        <v>18</v>
      </c>
      <c r="D91" s="10"/>
      <c r="E91" s="10"/>
    </row>
    <row r="92" spans="1:5" ht="15">
      <c r="A92" s="6" t="s">
        <v>16</v>
      </c>
      <c r="B92" s="14">
        <v>1</v>
      </c>
      <c r="C92" s="9">
        <v>35</v>
      </c>
      <c r="D92" s="10"/>
      <c r="E92" s="10"/>
    </row>
    <row r="93" spans="1:5" ht="15">
      <c r="A93" s="6" t="s">
        <v>15</v>
      </c>
      <c r="B93" s="14"/>
      <c r="C93" s="9"/>
      <c r="D93" s="10"/>
      <c r="E93" s="10"/>
    </row>
    <row r="94" ht="15">
      <c r="B94" s="4"/>
    </row>
    <row r="95" ht="15">
      <c r="B95" s="4"/>
    </row>
    <row r="96" spans="1:5" ht="15">
      <c r="A96" s="28" t="s">
        <v>7</v>
      </c>
      <c r="B96" s="20" t="s">
        <v>17</v>
      </c>
      <c r="C96" s="10"/>
      <c r="D96" s="10"/>
      <c r="E96" s="10"/>
    </row>
    <row r="97" spans="1:5" ht="15">
      <c r="A97" s="8" t="s">
        <v>56</v>
      </c>
      <c r="B97" s="14">
        <v>1</v>
      </c>
      <c r="C97" s="10"/>
      <c r="D97" s="10"/>
      <c r="E97" s="10"/>
    </row>
    <row r="98" spans="1:5" ht="15">
      <c r="A98" s="10"/>
      <c r="B98" s="20" t="s">
        <v>17</v>
      </c>
      <c r="C98" s="6" t="s">
        <v>190</v>
      </c>
      <c r="D98" s="6" t="s">
        <v>191</v>
      </c>
      <c r="E98" s="6" t="s">
        <v>34</v>
      </c>
    </row>
    <row r="99" spans="1:5" ht="15">
      <c r="A99" s="6" t="s">
        <v>8</v>
      </c>
      <c r="B99" s="14">
        <v>6</v>
      </c>
      <c r="C99" s="9"/>
      <c r="D99" s="9"/>
      <c r="E99" s="9"/>
    </row>
    <row r="100" spans="1:5" ht="15">
      <c r="A100" s="6" t="s">
        <v>9</v>
      </c>
      <c r="B100" s="14">
        <v>6</v>
      </c>
      <c r="C100" s="9">
        <v>14</v>
      </c>
      <c r="D100" s="9"/>
      <c r="E100" s="9"/>
    </row>
    <row r="101" spans="1:5" ht="15">
      <c r="A101" s="6" t="s">
        <v>10</v>
      </c>
      <c r="B101" s="14"/>
      <c r="C101" s="9"/>
      <c r="D101" s="9"/>
      <c r="E101" s="9"/>
    </row>
    <row r="102" spans="1:5" ht="15">
      <c r="A102" s="6" t="s">
        <v>11</v>
      </c>
      <c r="B102" s="14"/>
      <c r="C102" s="9"/>
      <c r="D102" s="9"/>
      <c r="E102" s="9"/>
    </row>
    <row r="103" spans="1:5" ht="15">
      <c r="A103" s="6" t="s">
        <v>12</v>
      </c>
      <c r="B103" s="14"/>
      <c r="C103" s="9"/>
      <c r="D103" s="9"/>
      <c r="E103" s="9"/>
    </row>
    <row r="104" spans="1:5" ht="15">
      <c r="A104" s="6" t="s">
        <v>13</v>
      </c>
      <c r="B104" s="14"/>
      <c r="C104" s="9"/>
      <c r="D104" s="9"/>
      <c r="E104" s="9"/>
    </row>
    <row r="105" spans="1:5" ht="15">
      <c r="A105" s="6" t="s">
        <v>14</v>
      </c>
      <c r="B105" s="14"/>
      <c r="C105" s="9"/>
      <c r="D105" s="9"/>
      <c r="E105" s="9"/>
    </row>
    <row r="106" spans="1:5" ht="15">
      <c r="A106" s="10"/>
      <c r="B106" s="20" t="s">
        <v>17</v>
      </c>
      <c r="C106" s="6" t="s">
        <v>18</v>
      </c>
      <c r="D106" s="10"/>
      <c r="E106" s="10"/>
    </row>
    <row r="107" spans="1:5" ht="15">
      <c r="A107" s="6" t="s">
        <v>16</v>
      </c>
      <c r="B107" s="14">
        <v>1</v>
      </c>
      <c r="C107" s="9">
        <v>35</v>
      </c>
      <c r="D107" s="10"/>
      <c r="E107" s="10"/>
    </row>
    <row r="108" spans="1:5" ht="15">
      <c r="A108" s="6" t="s">
        <v>15</v>
      </c>
      <c r="B108" s="14"/>
      <c r="C108" s="9"/>
      <c r="D108" s="10"/>
      <c r="E108" s="10"/>
    </row>
    <row r="109" ht="15">
      <c r="B109" s="4"/>
    </row>
    <row r="110" ht="15">
      <c r="B110" s="4"/>
    </row>
    <row r="111" spans="1:5" ht="15">
      <c r="A111" s="28" t="s">
        <v>7</v>
      </c>
      <c r="B111" s="20" t="s">
        <v>17</v>
      </c>
      <c r="C111" s="10"/>
      <c r="D111" s="10"/>
      <c r="E111" s="10"/>
    </row>
    <row r="112" spans="1:5" ht="15">
      <c r="A112" s="8" t="s">
        <v>57</v>
      </c>
      <c r="B112" s="14">
        <v>3</v>
      </c>
      <c r="C112" s="10"/>
      <c r="D112" s="10"/>
      <c r="E112" s="10"/>
    </row>
    <row r="113" spans="1:5" ht="15">
      <c r="A113" s="10"/>
      <c r="B113" s="20" t="s">
        <v>17</v>
      </c>
      <c r="C113" s="6" t="s">
        <v>190</v>
      </c>
      <c r="D113" s="6" t="s">
        <v>191</v>
      </c>
      <c r="E113" s="6" t="s">
        <v>34</v>
      </c>
    </row>
    <row r="114" spans="1:5" ht="15">
      <c r="A114" s="6" t="s">
        <v>8</v>
      </c>
      <c r="B114" s="14">
        <v>18</v>
      </c>
      <c r="C114" s="9"/>
      <c r="D114" s="9"/>
      <c r="E114" s="9"/>
    </row>
    <row r="115" spans="1:5" ht="15">
      <c r="A115" s="6" t="s">
        <v>9</v>
      </c>
      <c r="B115" s="14">
        <v>18</v>
      </c>
      <c r="C115" s="9">
        <v>14</v>
      </c>
      <c r="D115" s="9"/>
      <c r="E115" s="9"/>
    </row>
    <row r="116" spans="1:5" ht="15">
      <c r="A116" s="6" t="s">
        <v>10</v>
      </c>
      <c r="B116" s="14"/>
      <c r="C116" s="9"/>
      <c r="D116" s="9"/>
      <c r="E116" s="9"/>
    </row>
    <row r="117" spans="1:5" ht="15">
      <c r="A117" s="6" t="s">
        <v>11</v>
      </c>
      <c r="B117" s="14"/>
      <c r="C117" s="9"/>
      <c r="D117" s="9"/>
      <c r="E117" s="9"/>
    </row>
    <row r="118" spans="1:5" ht="15">
      <c r="A118" s="6" t="s">
        <v>12</v>
      </c>
      <c r="B118" s="14"/>
      <c r="C118" s="9"/>
      <c r="D118" s="9"/>
      <c r="E118" s="9"/>
    </row>
    <row r="119" spans="1:5" ht="15">
      <c r="A119" s="6" t="s">
        <v>13</v>
      </c>
      <c r="B119" s="14"/>
      <c r="C119" s="9"/>
      <c r="D119" s="9"/>
      <c r="E119" s="9"/>
    </row>
    <row r="120" spans="1:5" ht="15">
      <c r="A120" s="6" t="s">
        <v>14</v>
      </c>
      <c r="B120" s="14"/>
      <c r="C120" s="9"/>
      <c r="D120" s="9"/>
      <c r="E120" s="9"/>
    </row>
    <row r="121" spans="1:5" ht="15">
      <c r="A121" s="10"/>
      <c r="B121" s="20" t="s">
        <v>17</v>
      </c>
      <c r="C121" s="6" t="s">
        <v>18</v>
      </c>
      <c r="D121" s="10"/>
      <c r="E121" s="10"/>
    </row>
    <row r="122" spans="1:5" ht="15">
      <c r="A122" s="6" t="s">
        <v>16</v>
      </c>
      <c r="B122" s="14">
        <v>3</v>
      </c>
      <c r="C122" s="9">
        <v>35</v>
      </c>
      <c r="D122" s="10"/>
      <c r="E122" s="10"/>
    </row>
    <row r="123" spans="1:5" ht="15">
      <c r="A123" s="6" t="s">
        <v>15</v>
      </c>
      <c r="B123" s="14"/>
      <c r="C123" s="9"/>
      <c r="D123" s="10"/>
      <c r="E123" s="10"/>
    </row>
    <row r="124" ht="15">
      <c r="B124" s="4"/>
    </row>
    <row r="125" ht="15">
      <c r="B125" s="4"/>
    </row>
    <row r="126" spans="1:5" ht="15">
      <c r="A126" s="28" t="s">
        <v>7</v>
      </c>
      <c r="B126" s="20" t="s">
        <v>17</v>
      </c>
      <c r="C126" s="10"/>
      <c r="D126" s="10"/>
      <c r="E126" s="10"/>
    </row>
    <row r="127" spans="1:5" ht="15">
      <c r="A127" s="8" t="s">
        <v>58</v>
      </c>
      <c r="B127" s="14">
        <v>3</v>
      </c>
      <c r="C127" s="10"/>
      <c r="D127" s="10"/>
      <c r="E127" s="10"/>
    </row>
    <row r="128" spans="1:5" ht="15">
      <c r="A128" s="10"/>
      <c r="B128" s="20" t="s">
        <v>17</v>
      </c>
      <c r="C128" s="6" t="s">
        <v>190</v>
      </c>
      <c r="D128" s="6" t="s">
        <v>191</v>
      </c>
      <c r="E128" s="6" t="s">
        <v>34</v>
      </c>
    </row>
    <row r="129" spans="1:5" ht="15">
      <c r="A129" s="6" t="s">
        <v>8</v>
      </c>
      <c r="B129" s="14">
        <v>18</v>
      </c>
      <c r="C129" s="9"/>
      <c r="D129" s="9"/>
      <c r="E129" s="9"/>
    </row>
    <row r="130" spans="1:5" ht="15">
      <c r="A130" s="6" t="s">
        <v>9</v>
      </c>
      <c r="B130" s="14">
        <v>18</v>
      </c>
      <c r="C130" s="9">
        <v>14</v>
      </c>
      <c r="D130" s="9"/>
      <c r="E130" s="9"/>
    </row>
    <row r="131" spans="1:5" ht="15">
      <c r="A131" s="6" t="s">
        <v>10</v>
      </c>
      <c r="B131" s="14"/>
      <c r="C131" s="9"/>
      <c r="D131" s="9"/>
      <c r="E131" s="9"/>
    </row>
    <row r="132" spans="1:5" ht="15">
      <c r="A132" s="6" t="s">
        <v>11</v>
      </c>
      <c r="B132" s="14"/>
      <c r="C132" s="9"/>
      <c r="D132" s="9"/>
      <c r="E132" s="9"/>
    </row>
    <row r="133" spans="1:5" ht="15">
      <c r="A133" s="6" t="s">
        <v>12</v>
      </c>
      <c r="B133" s="14"/>
      <c r="C133" s="9"/>
      <c r="D133" s="9"/>
      <c r="E133" s="9"/>
    </row>
    <row r="134" spans="1:5" ht="15">
      <c r="A134" s="6" t="s">
        <v>13</v>
      </c>
      <c r="B134" s="14"/>
      <c r="C134" s="9"/>
      <c r="D134" s="9"/>
      <c r="E134" s="9"/>
    </row>
    <row r="135" spans="1:5" ht="15">
      <c r="A135" s="6" t="s">
        <v>14</v>
      </c>
      <c r="B135" s="14"/>
      <c r="C135" s="9"/>
      <c r="D135" s="9"/>
      <c r="E135" s="9"/>
    </row>
    <row r="136" spans="1:5" ht="15">
      <c r="A136" s="10"/>
      <c r="B136" s="20" t="s">
        <v>17</v>
      </c>
      <c r="C136" s="6" t="s">
        <v>18</v>
      </c>
      <c r="D136" s="10"/>
      <c r="E136" s="10"/>
    </row>
    <row r="137" spans="1:5" ht="15">
      <c r="A137" s="6" t="s">
        <v>16</v>
      </c>
      <c r="B137" s="14">
        <v>3</v>
      </c>
      <c r="C137" s="9">
        <v>35</v>
      </c>
      <c r="D137" s="10"/>
      <c r="E137" s="10"/>
    </row>
    <row r="138" spans="1:5" ht="15">
      <c r="A138" s="6" t="s">
        <v>15</v>
      </c>
      <c r="B138" s="14"/>
      <c r="C138" s="9"/>
      <c r="D138" s="10"/>
      <c r="E138" s="10"/>
    </row>
    <row r="139" ht="15">
      <c r="B139" s="4"/>
    </row>
    <row r="140" ht="15">
      <c r="B140" s="4"/>
    </row>
    <row r="141" spans="1:5" ht="15">
      <c r="A141" s="28" t="s">
        <v>7</v>
      </c>
      <c r="B141" s="20" t="s">
        <v>17</v>
      </c>
      <c r="C141" s="10"/>
      <c r="D141" s="10"/>
      <c r="E141" s="10"/>
    </row>
    <row r="142" spans="1:5" ht="15">
      <c r="A142" s="8" t="s">
        <v>60</v>
      </c>
      <c r="B142" s="14">
        <v>4</v>
      </c>
      <c r="C142" s="10"/>
      <c r="D142" s="10"/>
      <c r="E142" s="10"/>
    </row>
    <row r="143" spans="1:5" ht="15">
      <c r="A143" s="10"/>
      <c r="B143" s="20" t="s">
        <v>17</v>
      </c>
      <c r="C143" s="6" t="s">
        <v>190</v>
      </c>
      <c r="D143" s="6" t="s">
        <v>191</v>
      </c>
      <c r="E143" s="6" t="s">
        <v>34</v>
      </c>
    </row>
    <row r="144" spans="1:5" ht="15">
      <c r="A144" s="6" t="s">
        <v>8</v>
      </c>
      <c r="B144" s="14">
        <v>24</v>
      </c>
      <c r="C144" s="9"/>
      <c r="D144" s="9"/>
      <c r="E144" s="9"/>
    </row>
    <row r="145" spans="1:5" ht="15">
      <c r="A145" s="6" t="s">
        <v>9</v>
      </c>
      <c r="B145" s="14">
        <v>24</v>
      </c>
      <c r="C145" s="9">
        <v>14</v>
      </c>
      <c r="D145" s="9"/>
      <c r="E145" s="9"/>
    </row>
    <row r="146" spans="1:5" ht="15">
      <c r="A146" s="6" t="s">
        <v>10</v>
      </c>
      <c r="B146" s="14"/>
      <c r="C146" s="9"/>
      <c r="D146" s="9"/>
      <c r="E146" s="9"/>
    </row>
    <row r="147" spans="1:5" ht="15">
      <c r="A147" s="6" t="s">
        <v>11</v>
      </c>
      <c r="B147" s="14"/>
      <c r="C147" s="9"/>
      <c r="D147" s="9"/>
      <c r="E147" s="9"/>
    </row>
    <row r="148" spans="1:5" ht="15">
      <c r="A148" s="6" t="s">
        <v>12</v>
      </c>
      <c r="B148" s="14"/>
      <c r="C148" s="9"/>
      <c r="D148" s="9"/>
      <c r="E148" s="9"/>
    </row>
    <row r="149" spans="1:5" ht="15">
      <c r="A149" s="6" t="s">
        <v>13</v>
      </c>
      <c r="B149" s="14"/>
      <c r="C149" s="9"/>
      <c r="D149" s="9"/>
      <c r="E149" s="9"/>
    </row>
    <row r="150" spans="1:5" ht="15">
      <c r="A150" s="6" t="s">
        <v>14</v>
      </c>
      <c r="B150" s="14"/>
      <c r="C150" s="9"/>
      <c r="D150" s="9"/>
      <c r="E150" s="9"/>
    </row>
    <row r="151" spans="1:5" ht="15">
      <c r="A151" s="10"/>
      <c r="B151" s="20" t="s">
        <v>17</v>
      </c>
      <c r="C151" s="6" t="s">
        <v>18</v>
      </c>
      <c r="D151" s="10"/>
      <c r="E151" s="10"/>
    </row>
    <row r="152" spans="1:5" ht="15">
      <c r="A152" s="6" t="s">
        <v>16</v>
      </c>
      <c r="B152" s="14">
        <v>4</v>
      </c>
      <c r="C152" s="9">
        <v>35</v>
      </c>
      <c r="D152" s="10"/>
      <c r="E152" s="10"/>
    </row>
    <row r="153" spans="1:5" ht="15">
      <c r="A153" s="6" t="s">
        <v>15</v>
      </c>
      <c r="B153" s="14"/>
      <c r="C153" s="9"/>
      <c r="D153" s="10"/>
      <c r="E153" s="10"/>
    </row>
    <row r="154" ht="15">
      <c r="B154" s="4"/>
    </row>
    <row r="155" ht="15">
      <c r="B155" s="4"/>
    </row>
    <row r="156" spans="1:5" ht="15">
      <c r="A156" s="28" t="s">
        <v>7</v>
      </c>
      <c r="B156" s="20" t="s">
        <v>17</v>
      </c>
      <c r="C156" s="10"/>
      <c r="D156" s="10"/>
      <c r="E156" s="10"/>
    </row>
    <row r="157" spans="1:5" ht="15">
      <c r="A157" s="8" t="s">
        <v>59</v>
      </c>
      <c r="B157" s="14">
        <v>1</v>
      </c>
      <c r="C157" s="10"/>
      <c r="D157" s="10"/>
      <c r="E157" s="10"/>
    </row>
    <row r="158" spans="1:5" ht="15">
      <c r="A158" s="10"/>
      <c r="B158" s="20" t="s">
        <v>17</v>
      </c>
      <c r="C158" s="6" t="s">
        <v>190</v>
      </c>
      <c r="D158" s="6" t="s">
        <v>191</v>
      </c>
      <c r="E158" s="6" t="s">
        <v>34</v>
      </c>
    </row>
    <row r="159" spans="1:5" ht="15">
      <c r="A159" s="6" t="s">
        <v>8</v>
      </c>
      <c r="B159" s="14">
        <v>5</v>
      </c>
      <c r="C159" s="9"/>
      <c r="D159" s="9"/>
      <c r="E159" s="9"/>
    </row>
    <row r="160" spans="1:5" ht="15">
      <c r="A160" s="6" t="s">
        <v>9</v>
      </c>
      <c r="B160" s="14">
        <v>5</v>
      </c>
      <c r="C160" s="9">
        <v>14</v>
      </c>
      <c r="D160" s="9"/>
      <c r="E160" s="9"/>
    </row>
    <row r="161" spans="1:5" ht="15">
      <c r="A161" s="6" t="s">
        <v>10</v>
      </c>
      <c r="B161" s="14"/>
      <c r="C161" s="9"/>
      <c r="D161" s="9"/>
      <c r="E161" s="9"/>
    </row>
    <row r="162" spans="1:5" ht="15">
      <c r="A162" s="6" t="s">
        <v>11</v>
      </c>
      <c r="B162" s="14"/>
      <c r="C162" s="9"/>
      <c r="D162" s="9"/>
      <c r="E162" s="9"/>
    </row>
    <row r="163" spans="1:5" ht="15">
      <c r="A163" s="6" t="s">
        <v>12</v>
      </c>
      <c r="B163" s="14"/>
      <c r="C163" s="9"/>
      <c r="D163" s="9"/>
      <c r="E163" s="9"/>
    </row>
    <row r="164" spans="1:5" ht="15">
      <c r="A164" s="6" t="s">
        <v>13</v>
      </c>
      <c r="B164" s="14"/>
      <c r="C164" s="9"/>
      <c r="D164" s="9"/>
      <c r="E164" s="9"/>
    </row>
    <row r="165" spans="1:5" ht="15">
      <c r="A165" s="6" t="s">
        <v>14</v>
      </c>
      <c r="B165" s="14"/>
      <c r="C165" s="9"/>
      <c r="D165" s="9"/>
      <c r="E165" s="9"/>
    </row>
    <row r="166" spans="1:5" ht="15">
      <c r="A166" s="10"/>
      <c r="B166" s="20" t="s">
        <v>17</v>
      </c>
      <c r="C166" s="6" t="s">
        <v>18</v>
      </c>
      <c r="D166" s="10"/>
      <c r="E166" s="10"/>
    </row>
    <row r="167" spans="1:5" ht="15">
      <c r="A167" s="6" t="s">
        <v>16</v>
      </c>
      <c r="B167" s="14">
        <v>1</v>
      </c>
      <c r="C167" s="9">
        <v>35</v>
      </c>
      <c r="D167" s="10"/>
      <c r="E167" s="10"/>
    </row>
    <row r="168" spans="1:5" ht="15">
      <c r="A168" s="6" t="s">
        <v>15</v>
      </c>
      <c r="B168" s="14"/>
      <c r="C168" s="9"/>
      <c r="D168" s="10"/>
      <c r="E168" s="10"/>
    </row>
    <row r="169" ht="15">
      <c r="B169" s="4"/>
    </row>
    <row r="170" ht="15">
      <c r="B170" s="4"/>
    </row>
    <row r="171" spans="1:5" ht="15">
      <c r="A171" s="28" t="s">
        <v>7</v>
      </c>
      <c r="B171" s="20" t="s">
        <v>17</v>
      </c>
      <c r="C171" s="10"/>
      <c r="D171" s="10"/>
      <c r="E171" s="10"/>
    </row>
    <row r="172" spans="1:5" ht="15">
      <c r="A172" s="8" t="s">
        <v>61</v>
      </c>
      <c r="B172" s="14">
        <v>4</v>
      </c>
      <c r="C172" s="10"/>
      <c r="D172" s="10"/>
      <c r="E172" s="10"/>
    </row>
    <row r="173" spans="1:5" ht="15">
      <c r="A173" s="10"/>
      <c r="B173" s="20" t="s">
        <v>17</v>
      </c>
      <c r="C173" s="6" t="s">
        <v>190</v>
      </c>
      <c r="D173" s="6" t="s">
        <v>191</v>
      </c>
      <c r="E173" s="6" t="s">
        <v>34</v>
      </c>
    </row>
    <row r="174" spans="1:5" ht="15">
      <c r="A174" s="6" t="s">
        <v>8</v>
      </c>
      <c r="B174" s="14">
        <v>24</v>
      </c>
      <c r="C174" s="9"/>
      <c r="D174" s="9"/>
      <c r="E174" s="9"/>
    </row>
    <row r="175" spans="1:5" ht="15">
      <c r="A175" s="6" t="s">
        <v>9</v>
      </c>
      <c r="B175" s="14">
        <v>24</v>
      </c>
      <c r="C175" s="9">
        <v>14</v>
      </c>
      <c r="D175" s="9"/>
      <c r="E175" s="9"/>
    </row>
    <row r="176" spans="1:5" ht="15">
      <c r="A176" s="6" t="s">
        <v>10</v>
      </c>
      <c r="B176" s="14"/>
      <c r="C176" s="9"/>
      <c r="D176" s="9"/>
      <c r="E176" s="9"/>
    </row>
    <row r="177" spans="1:5" ht="15">
      <c r="A177" s="6" t="s">
        <v>11</v>
      </c>
      <c r="B177" s="14"/>
      <c r="C177" s="9"/>
      <c r="D177" s="9"/>
      <c r="E177" s="9"/>
    </row>
    <row r="178" spans="1:5" ht="15">
      <c r="A178" s="6" t="s">
        <v>12</v>
      </c>
      <c r="B178" s="14"/>
      <c r="C178" s="9"/>
      <c r="D178" s="9"/>
      <c r="E178" s="9"/>
    </row>
    <row r="179" spans="1:5" ht="15">
      <c r="A179" s="6" t="s">
        <v>13</v>
      </c>
      <c r="B179" s="14"/>
      <c r="C179" s="9"/>
      <c r="D179" s="9"/>
      <c r="E179" s="9"/>
    </row>
    <row r="180" spans="1:5" ht="15">
      <c r="A180" s="6" t="s">
        <v>14</v>
      </c>
      <c r="B180" s="14"/>
      <c r="C180" s="9"/>
      <c r="D180" s="9"/>
      <c r="E180" s="9"/>
    </row>
    <row r="181" spans="1:5" ht="15">
      <c r="A181" s="10"/>
      <c r="B181" s="20" t="s">
        <v>17</v>
      </c>
      <c r="C181" s="6" t="s">
        <v>18</v>
      </c>
      <c r="D181" s="10"/>
      <c r="E181" s="10"/>
    </row>
    <row r="182" spans="1:5" ht="15">
      <c r="A182" s="6" t="s">
        <v>16</v>
      </c>
      <c r="B182" s="14">
        <v>4</v>
      </c>
      <c r="C182" s="9">
        <v>35</v>
      </c>
      <c r="D182" s="10"/>
      <c r="E182" s="10"/>
    </row>
    <row r="183" spans="1:5" ht="15">
      <c r="A183" s="6" t="s">
        <v>15</v>
      </c>
      <c r="B183" s="14"/>
      <c r="C183" s="9"/>
      <c r="D183" s="10"/>
      <c r="E183" s="10"/>
    </row>
    <row r="184" ht="15">
      <c r="B184" s="4"/>
    </row>
    <row r="185" ht="15">
      <c r="B185" s="4"/>
    </row>
    <row r="186" spans="1:5" ht="15">
      <c r="A186" s="28" t="s">
        <v>7</v>
      </c>
      <c r="B186" s="20" t="s">
        <v>17</v>
      </c>
      <c r="C186" s="10"/>
      <c r="D186" s="10"/>
      <c r="E186" s="10"/>
    </row>
    <row r="187" spans="1:5" ht="15">
      <c r="A187" s="8" t="s">
        <v>62</v>
      </c>
      <c r="B187" s="14">
        <v>1</v>
      </c>
      <c r="C187" s="10"/>
      <c r="D187" s="10"/>
      <c r="E187" s="10"/>
    </row>
    <row r="188" spans="1:5" ht="15">
      <c r="A188" s="10"/>
      <c r="B188" s="20" t="s">
        <v>17</v>
      </c>
      <c r="C188" s="6" t="s">
        <v>190</v>
      </c>
      <c r="D188" s="6" t="s">
        <v>191</v>
      </c>
      <c r="E188" s="6" t="s">
        <v>34</v>
      </c>
    </row>
    <row r="189" spans="1:5" ht="15">
      <c r="A189" s="6" t="s">
        <v>8</v>
      </c>
      <c r="B189" s="14">
        <v>4</v>
      </c>
      <c r="C189" s="9"/>
      <c r="D189" s="9"/>
      <c r="E189" s="9"/>
    </row>
    <row r="190" spans="1:5" ht="15">
      <c r="A190" s="6" t="s">
        <v>9</v>
      </c>
      <c r="B190" s="14">
        <v>4</v>
      </c>
      <c r="C190" s="9">
        <v>14</v>
      </c>
      <c r="D190" s="9"/>
      <c r="E190" s="9"/>
    </row>
    <row r="191" spans="1:5" ht="15">
      <c r="A191" s="6" t="s">
        <v>10</v>
      </c>
      <c r="B191" s="14"/>
      <c r="C191" s="9"/>
      <c r="D191" s="9"/>
      <c r="E191" s="9"/>
    </row>
    <row r="192" spans="1:5" ht="15">
      <c r="A192" s="6" t="s">
        <v>11</v>
      </c>
      <c r="B192" s="14"/>
      <c r="C192" s="9"/>
      <c r="D192" s="9"/>
      <c r="E192" s="9"/>
    </row>
    <row r="193" spans="1:5" ht="15">
      <c r="A193" s="6" t="s">
        <v>12</v>
      </c>
      <c r="B193" s="14"/>
      <c r="C193" s="9"/>
      <c r="D193" s="9"/>
      <c r="E193" s="9"/>
    </row>
    <row r="194" spans="1:5" ht="15">
      <c r="A194" s="6" t="s">
        <v>13</v>
      </c>
      <c r="B194" s="14"/>
      <c r="C194" s="9"/>
      <c r="D194" s="9"/>
      <c r="E194" s="9"/>
    </row>
    <row r="195" spans="1:5" ht="15">
      <c r="A195" s="6" t="s">
        <v>14</v>
      </c>
      <c r="B195" s="14"/>
      <c r="C195" s="9"/>
      <c r="D195" s="9"/>
      <c r="E195" s="9"/>
    </row>
    <row r="196" spans="1:5" ht="15">
      <c r="A196" s="10"/>
      <c r="B196" s="20" t="s">
        <v>17</v>
      </c>
      <c r="C196" s="6" t="s">
        <v>18</v>
      </c>
      <c r="D196" s="10"/>
      <c r="E196" s="10"/>
    </row>
    <row r="197" spans="1:5" ht="15">
      <c r="A197" s="6" t="s">
        <v>16</v>
      </c>
      <c r="B197" s="14">
        <v>1</v>
      </c>
      <c r="C197" s="9">
        <v>35</v>
      </c>
      <c r="D197" s="10"/>
      <c r="E197" s="10"/>
    </row>
    <row r="198" spans="1:5" ht="15">
      <c r="A198" s="6" t="s">
        <v>15</v>
      </c>
      <c r="B198" s="14"/>
      <c r="C198" s="9"/>
      <c r="D198" s="10"/>
      <c r="E198" s="10"/>
    </row>
    <row r="199" ht="15">
      <c r="B199" s="4"/>
    </row>
    <row r="200" ht="15">
      <c r="B200" s="4"/>
    </row>
    <row r="201" spans="1:5" ht="15">
      <c r="A201" s="28" t="s">
        <v>7</v>
      </c>
      <c r="B201" s="20" t="s">
        <v>17</v>
      </c>
      <c r="C201" s="10"/>
      <c r="D201" s="10"/>
      <c r="E201" s="10"/>
    </row>
    <row r="202" spans="1:5" ht="15">
      <c r="A202" s="8" t="s">
        <v>63</v>
      </c>
      <c r="B202" s="14">
        <v>4</v>
      </c>
      <c r="C202" s="10"/>
      <c r="D202" s="10"/>
      <c r="E202" s="10"/>
    </row>
    <row r="203" spans="1:5" ht="15">
      <c r="A203" s="10"/>
      <c r="B203" s="20" t="s">
        <v>17</v>
      </c>
      <c r="C203" s="6" t="s">
        <v>190</v>
      </c>
      <c r="D203" s="6" t="s">
        <v>191</v>
      </c>
      <c r="E203" s="6" t="s">
        <v>34</v>
      </c>
    </row>
    <row r="204" spans="1:5" ht="15">
      <c r="A204" s="6" t="s">
        <v>8</v>
      </c>
      <c r="B204" s="14">
        <v>16</v>
      </c>
      <c r="C204" s="9"/>
      <c r="D204" s="9"/>
      <c r="E204" s="9"/>
    </row>
    <row r="205" spans="1:5" ht="15">
      <c r="A205" s="6" t="s">
        <v>9</v>
      </c>
      <c r="B205" s="14">
        <v>16</v>
      </c>
      <c r="C205" s="9">
        <v>14</v>
      </c>
      <c r="D205" s="9"/>
      <c r="E205" s="9"/>
    </row>
    <row r="206" spans="1:5" ht="15">
      <c r="A206" s="6" t="s">
        <v>10</v>
      </c>
      <c r="B206" s="14"/>
      <c r="C206" s="9"/>
      <c r="D206" s="9"/>
      <c r="E206" s="9"/>
    </row>
    <row r="207" spans="1:5" ht="15">
      <c r="A207" s="6" t="s">
        <v>11</v>
      </c>
      <c r="B207" s="14"/>
      <c r="C207" s="9"/>
      <c r="D207" s="9"/>
      <c r="E207" s="9"/>
    </row>
    <row r="208" spans="1:5" ht="15">
      <c r="A208" s="6" t="s">
        <v>12</v>
      </c>
      <c r="B208" s="14"/>
      <c r="C208" s="9"/>
      <c r="D208" s="9"/>
      <c r="E208" s="9"/>
    </row>
    <row r="209" spans="1:5" ht="15">
      <c r="A209" s="6" t="s">
        <v>13</v>
      </c>
      <c r="B209" s="14"/>
      <c r="C209" s="9"/>
      <c r="D209" s="9"/>
      <c r="E209" s="9"/>
    </row>
    <row r="210" spans="1:5" ht="15">
      <c r="A210" s="6" t="s">
        <v>14</v>
      </c>
      <c r="B210" s="14"/>
      <c r="C210" s="9"/>
      <c r="D210" s="9"/>
      <c r="E210" s="9"/>
    </row>
    <row r="211" spans="1:5" ht="15">
      <c r="A211" s="10"/>
      <c r="B211" s="20" t="s">
        <v>17</v>
      </c>
      <c r="C211" s="6" t="s">
        <v>18</v>
      </c>
      <c r="D211" s="10"/>
      <c r="E211" s="10"/>
    </row>
    <row r="212" spans="1:5" ht="15">
      <c r="A212" s="6" t="s">
        <v>16</v>
      </c>
      <c r="B212" s="14">
        <v>4</v>
      </c>
      <c r="C212" s="9">
        <v>32</v>
      </c>
      <c r="D212" s="10"/>
      <c r="E212" s="10"/>
    </row>
    <row r="213" spans="1:5" ht="15">
      <c r="A213" s="6" t="s">
        <v>15</v>
      </c>
      <c r="B213" s="14"/>
      <c r="C213" s="9"/>
      <c r="D213" s="10"/>
      <c r="E213" s="10"/>
    </row>
    <row r="214" ht="15">
      <c r="B214" s="4"/>
    </row>
    <row r="215" ht="15">
      <c r="B215" s="4"/>
    </row>
    <row r="216" spans="1:5" ht="15">
      <c r="A216" s="28" t="s">
        <v>7</v>
      </c>
      <c r="B216" s="20" t="s">
        <v>17</v>
      </c>
      <c r="C216" s="10"/>
      <c r="D216" s="10"/>
      <c r="E216" s="10"/>
    </row>
    <row r="217" spans="1:5" ht="15">
      <c r="A217" s="8" t="s">
        <v>64</v>
      </c>
      <c r="B217" s="14">
        <v>4</v>
      </c>
      <c r="C217" s="10"/>
      <c r="D217" s="10"/>
      <c r="E217" s="10"/>
    </row>
    <row r="218" spans="1:5" ht="15">
      <c r="A218" s="10"/>
      <c r="B218" s="20" t="s">
        <v>17</v>
      </c>
      <c r="C218" s="6" t="s">
        <v>190</v>
      </c>
      <c r="D218" s="6" t="s">
        <v>191</v>
      </c>
      <c r="E218" s="6" t="s">
        <v>34</v>
      </c>
    </row>
    <row r="219" spans="1:5" ht="15">
      <c r="A219" s="6" t="s">
        <v>8</v>
      </c>
      <c r="B219" s="14">
        <v>24</v>
      </c>
      <c r="C219" s="9"/>
      <c r="D219" s="9"/>
      <c r="E219" s="9"/>
    </row>
    <row r="220" spans="1:5" ht="15">
      <c r="A220" s="6" t="s">
        <v>9</v>
      </c>
      <c r="B220" s="14">
        <v>24</v>
      </c>
      <c r="C220" s="9">
        <v>14</v>
      </c>
      <c r="D220" s="9"/>
      <c r="E220" s="9"/>
    </row>
    <row r="221" spans="1:5" ht="15">
      <c r="A221" s="6" t="s">
        <v>10</v>
      </c>
      <c r="B221" s="14"/>
      <c r="C221" s="9"/>
      <c r="D221" s="9"/>
      <c r="E221" s="9"/>
    </row>
    <row r="222" spans="1:5" ht="15">
      <c r="A222" s="6" t="s">
        <v>11</v>
      </c>
      <c r="B222" s="14"/>
      <c r="C222" s="9"/>
      <c r="D222" s="9"/>
      <c r="E222" s="9"/>
    </row>
    <row r="223" spans="1:5" ht="15">
      <c r="A223" s="6" t="s">
        <v>12</v>
      </c>
      <c r="B223" s="14"/>
      <c r="C223" s="9"/>
      <c r="D223" s="9"/>
      <c r="E223" s="9"/>
    </row>
    <row r="224" spans="1:5" ht="15">
      <c r="A224" s="6" t="s">
        <v>13</v>
      </c>
      <c r="B224" s="14"/>
      <c r="C224" s="9"/>
      <c r="D224" s="9"/>
      <c r="E224" s="9"/>
    </row>
    <row r="225" spans="1:5" ht="15">
      <c r="A225" s="6" t="s">
        <v>14</v>
      </c>
      <c r="B225" s="14"/>
      <c r="C225" s="9"/>
      <c r="D225" s="9"/>
      <c r="E225" s="9"/>
    </row>
    <row r="226" spans="1:5" ht="15">
      <c r="A226" s="10"/>
      <c r="B226" s="20" t="s">
        <v>17</v>
      </c>
      <c r="C226" s="6" t="s">
        <v>18</v>
      </c>
      <c r="D226" s="10"/>
      <c r="E226" s="10"/>
    </row>
    <row r="227" spans="1:5" ht="15">
      <c r="A227" s="6" t="s">
        <v>16</v>
      </c>
      <c r="B227" s="14">
        <v>4</v>
      </c>
      <c r="C227" s="9">
        <v>35</v>
      </c>
      <c r="D227" s="10"/>
      <c r="E227" s="10"/>
    </row>
    <row r="228" spans="1:5" ht="15">
      <c r="A228" s="6" t="s">
        <v>15</v>
      </c>
      <c r="B228" s="14"/>
      <c r="C228" s="9"/>
      <c r="D228" s="10"/>
      <c r="E228" s="10"/>
    </row>
    <row r="229" ht="15">
      <c r="B229" s="4"/>
    </row>
    <row r="230" ht="15">
      <c r="B230" s="4"/>
    </row>
    <row r="231" spans="1:5" ht="15">
      <c r="A231" s="28" t="s">
        <v>7</v>
      </c>
      <c r="B231" s="20" t="s">
        <v>17</v>
      </c>
      <c r="C231" s="10"/>
      <c r="D231" s="10"/>
      <c r="E231" s="10"/>
    </row>
    <row r="232" spans="1:5" ht="15">
      <c r="A232" s="8" t="s">
        <v>65</v>
      </c>
      <c r="B232" s="14">
        <v>3</v>
      </c>
      <c r="C232" s="10"/>
      <c r="D232" s="10"/>
      <c r="E232" s="10"/>
    </row>
    <row r="233" spans="1:5" ht="15">
      <c r="A233" s="10"/>
      <c r="B233" s="20" t="s">
        <v>17</v>
      </c>
      <c r="C233" s="6" t="s">
        <v>190</v>
      </c>
      <c r="D233" s="6" t="s">
        <v>191</v>
      </c>
      <c r="E233" s="6" t="s">
        <v>34</v>
      </c>
    </row>
    <row r="234" spans="1:5" ht="15">
      <c r="A234" s="6" t="s">
        <v>8</v>
      </c>
      <c r="B234" s="14">
        <v>27</v>
      </c>
      <c r="C234" s="9"/>
      <c r="D234" s="9"/>
      <c r="E234" s="9"/>
    </row>
    <row r="235" spans="1:5" ht="15">
      <c r="A235" s="6" t="s">
        <v>9</v>
      </c>
      <c r="B235" s="14">
        <v>27</v>
      </c>
      <c r="C235" s="9">
        <v>14</v>
      </c>
      <c r="D235" s="9"/>
      <c r="E235" s="9"/>
    </row>
    <row r="236" spans="1:5" ht="15">
      <c r="A236" s="6" t="s">
        <v>10</v>
      </c>
      <c r="B236" s="14"/>
      <c r="C236" s="9"/>
      <c r="D236" s="9"/>
      <c r="E236" s="9"/>
    </row>
    <row r="237" spans="1:5" ht="15">
      <c r="A237" s="6" t="s">
        <v>11</v>
      </c>
      <c r="B237" s="14"/>
      <c r="C237" s="9"/>
      <c r="D237" s="9"/>
      <c r="E237" s="9"/>
    </row>
    <row r="238" spans="1:5" ht="15">
      <c r="A238" s="6" t="s">
        <v>12</v>
      </c>
      <c r="B238" s="14"/>
      <c r="C238" s="9"/>
      <c r="D238" s="9"/>
      <c r="E238" s="9"/>
    </row>
    <row r="239" spans="1:5" ht="15">
      <c r="A239" s="6" t="s">
        <v>13</v>
      </c>
      <c r="B239" s="14"/>
      <c r="C239" s="9"/>
      <c r="D239" s="9"/>
      <c r="E239" s="9"/>
    </row>
    <row r="240" spans="1:5" ht="15">
      <c r="A240" s="6" t="s">
        <v>14</v>
      </c>
      <c r="B240" s="14"/>
      <c r="C240" s="9"/>
      <c r="D240" s="9"/>
      <c r="E240" s="9"/>
    </row>
    <row r="241" spans="1:5" ht="15">
      <c r="A241" s="10"/>
      <c r="B241" s="20" t="s">
        <v>17</v>
      </c>
      <c r="C241" s="6" t="s">
        <v>18</v>
      </c>
      <c r="D241" s="10"/>
      <c r="E241" s="10"/>
    </row>
    <row r="242" spans="1:5" ht="15">
      <c r="A242" s="6" t="s">
        <v>16</v>
      </c>
      <c r="B242" s="14">
        <v>3</v>
      </c>
      <c r="C242" s="9">
        <v>37</v>
      </c>
      <c r="D242" s="10"/>
      <c r="E242" s="10"/>
    </row>
    <row r="243" spans="1:5" ht="15">
      <c r="A243" s="6" t="s">
        <v>15</v>
      </c>
      <c r="B243" s="14"/>
      <c r="C243" s="9"/>
      <c r="D243" s="10"/>
      <c r="E243" s="10"/>
    </row>
    <row r="244" ht="15">
      <c r="B244" s="4"/>
    </row>
    <row r="245" ht="15">
      <c r="B245" s="4"/>
    </row>
    <row r="246" spans="1:5" ht="15">
      <c r="A246" s="28" t="s">
        <v>7</v>
      </c>
      <c r="B246" s="20" t="s">
        <v>17</v>
      </c>
      <c r="C246" s="10"/>
      <c r="D246" s="10"/>
      <c r="E246" s="10"/>
    </row>
    <row r="247" spans="1:5" ht="15">
      <c r="A247" s="8" t="s">
        <v>66</v>
      </c>
      <c r="B247" s="14">
        <v>2</v>
      </c>
      <c r="C247" s="10"/>
      <c r="D247" s="10"/>
      <c r="E247" s="10"/>
    </row>
    <row r="248" spans="1:5" ht="15">
      <c r="A248" s="10"/>
      <c r="B248" s="20" t="s">
        <v>17</v>
      </c>
      <c r="C248" s="6" t="s">
        <v>190</v>
      </c>
      <c r="D248" s="6" t="s">
        <v>191</v>
      </c>
      <c r="E248" s="6" t="s">
        <v>34</v>
      </c>
    </row>
    <row r="249" spans="1:5" ht="15">
      <c r="A249" s="6" t="s">
        <v>8</v>
      </c>
      <c r="B249" s="14">
        <v>12</v>
      </c>
      <c r="C249" s="9"/>
      <c r="D249" s="9"/>
      <c r="E249" s="9"/>
    </row>
    <row r="250" spans="1:5" ht="15">
      <c r="A250" s="6" t="s">
        <v>9</v>
      </c>
      <c r="B250" s="14">
        <v>12</v>
      </c>
      <c r="C250" s="9">
        <v>14</v>
      </c>
      <c r="D250" s="9"/>
      <c r="E250" s="9"/>
    </row>
    <row r="251" spans="1:5" ht="15">
      <c r="A251" s="6" t="s">
        <v>10</v>
      </c>
      <c r="B251" s="14"/>
      <c r="C251" s="9"/>
      <c r="D251" s="9"/>
      <c r="E251" s="9"/>
    </row>
    <row r="252" spans="1:5" ht="15">
      <c r="A252" s="6" t="s">
        <v>11</v>
      </c>
      <c r="B252" s="14"/>
      <c r="C252" s="9"/>
      <c r="D252" s="9"/>
      <c r="E252" s="9"/>
    </row>
    <row r="253" spans="1:5" ht="15">
      <c r="A253" s="6" t="s">
        <v>12</v>
      </c>
      <c r="B253" s="14"/>
      <c r="C253" s="9"/>
      <c r="D253" s="9"/>
      <c r="E253" s="9"/>
    </row>
    <row r="254" spans="1:5" ht="15">
      <c r="A254" s="6" t="s">
        <v>13</v>
      </c>
      <c r="B254" s="14"/>
      <c r="C254" s="9"/>
      <c r="D254" s="9"/>
      <c r="E254" s="9"/>
    </row>
    <row r="255" spans="1:5" ht="15">
      <c r="A255" s="6" t="s">
        <v>14</v>
      </c>
      <c r="B255" s="14"/>
      <c r="C255" s="9"/>
      <c r="D255" s="9"/>
      <c r="E255" s="9"/>
    </row>
    <row r="256" spans="1:5" ht="15">
      <c r="A256" s="10"/>
      <c r="B256" s="20" t="s">
        <v>17</v>
      </c>
      <c r="C256" s="6" t="s">
        <v>18</v>
      </c>
      <c r="D256" s="10"/>
      <c r="E256" s="10"/>
    </row>
    <row r="257" spans="1:5" ht="15">
      <c r="A257" s="6" t="s">
        <v>16</v>
      </c>
      <c r="B257" s="14">
        <v>2</v>
      </c>
      <c r="C257" s="9">
        <v>33</v>
      </c>
      <c r="D257" s="10"/>
      <c r="E257" s="10"/>
    </row>
    <row r="258" spans="1:5" ht="15">
      <c r="A258" s="6" t="s">
        <v>15</v>
      </c>
      <c r="B258" s="14"/>
      <c r="C258" s="9"/>
      <c r="D258" s="10"/>
      <c r="E258" s="10"/>
    </row>
    <row r="259" ht="15">
      <c r="B259" s="4"/>
    </row>
    <row r="260" ht="15">
      <c r="B260" s="4"/>
    </row>
    <row r="261" spans="1:5" ht="15">
      <c r="A261" s="28" t="s">
        <v>7</v>
      </c>
      <c r="B261" s="20" t="s">
        <v>17</v>
      </c>
      <c r="C261" s="10"/>
      <c r="D261" s="10"/>
      <c r="E261" s="10"/>
    </row>
    <row r="262" spans="1:5" ht="15">
      <c r="A262" s="8" t="s">
        <v>67</v>
      </c>
      <c r="B262" s="14">
        <v>1</v>
      </c>
      <c r="C262" s="10"/>
      <c r="D262" s="10"/>
      <c r="E262" s="10"/>
    </row>
    <row r="263" spans="1:5" ht="15">
      <c r="A263" s="10"/>
      <c r="B263" s="20" t="s">
        <v>17</v>
      </c>
      <c r="C263" s="6" t="s">
        <v>190</v>
      </c>
      <c r="D263" s="6" t="s">
        <v>191</v>
      </c>
      <c r="E263" s="6" t="s">
        <v>34</v>
      </c>
    </row>
    <row r="264" spans="1:5" ht="15">
      <c r="A264" s="6" t="s">
        <v>8</v>
      </c>
      <c r="B264" s="14">
        <v>7</v>
      </c>
      <c r="C264" s="9"/>
      <c r="D264" s="9"/>
      <c r="E264" s="9"/>
    </row>
    <row r="265" spans="1:5" ht="15">
      <c r="A265" s="6" t="s">
        <v>9</v>
      </c>
      <c r="B265" s="14">
        <v>7</v>
      </c>
      <c r="C265" s="9">
        <v>14</v>
      </c>
      <c r="D265" s="9"/>
      <c r="E265" s="9"/>
    </row>
    <row r="266" spans="1:5" ht="15">
      <c r="A266" s="6" t="s">
        <v>10</v>
      </c>
      <c r="B266" s="14"/>
      <c r="C266" s="9"/>
      <c r="D266" s="9"/>
      <c r="E266" s="9"/>
    </row>
    <row r="267" spans="1:5" ht="15">
      <c r="A267" s="6" t="s">
        <v>11</v>
      </c>
      <c r="B267" s="14"/>
      <c r="C267" s="9"/>
      <c r="D267" s="9"/>
      <c r="E267" s="9"/>
    </row>
    <row r="268" spans="1:5" ht="15">
      <c r="A268" s="6" t="s">
        <v>12</v>
      </c>
      <c r="B268" s="14"/>
      <c r="C268" s="9"/>
      <c r="D268" s="9"/>
      <c r="E268" s="9"/>
    </row>
    <row r="269" spans="1:5" ht="15">
      <c r="A269" s="6" t="s">
        <v>13</v>
      </c>
      <c r="B269" s="14"/>
      <c r="C269" s="9"/>
      <c r="D269" s="9"/>
      <c r="E269" s="9"/>
    </row>
    <row r="270" spans="1:5" ht="15">
      <c r="A270" s="6" t="s">
        <v>14</v>
      </c>
      <c r="B270" s="14"/>
      <c r="C270" s="9"/>
      <c r="D270" s="9"/>
      <c r="E270" s="9"/>
    </row>
    <row r="271" spans="1:5" ht="15">
      <c r="A271" s="10"/>
      <c r="B271" s="20" t="s">
        <v>17</v>
      </c>
      <c r="C271" s="6" t="s">
        <v>18</v>
      </c>
      <c r="D271" s="10"/>
      <c r="E271" s="10"/>
    </row>
    <row r="272" spans="1:5" ht="15">
      <c r="A272" s="6" t="s">
        <v>16</v>
      </c>
      <c r="B272" s="14">
        <v>1</v>
      </c>
      <c r="C272" s="9">
        <v>43</v>
      </c>
      <c r="D272" s="10"/>
      <c r="E272" s="10"/>
    </row>
    <row r="273" spans="1:5" ht="15">
      <c r="A273" s="6" t="s">
        <v>15</v>
      </c>
      <c r="B273" s="14"/>
      <c r="C273" s="9"/>
      <c r="D273" s="10"/>
      <c r="E273" s="10"/>
    </row>
    <row r="274" ht="15">
      <c r="B274" s="4"/>
    </row>
    <row r="275" ht="15">
      <c r="B275" s="4"/>
    </row>
    <row r="276" spans="1:5" ht="15">
      <c r="A276" s="28" t="s">
        <v>7</v>
      </c>
      <c r="B276" s="20" t="s">
        <v>17</v>
      </c>
      <c r="C276" s="10"/>
      <c r="D276" s="10"/>
      <c r="E276" s="10"/>
    </row>
    <row r="277" spans="1:5" ht="15">
      <c r="A277" s="8" t="s">
        <v>68</v>
      </c>
      <c r="B277" s="14">
        <v>4</v>
      </c>
      <c r="C277" s="10"/>
      <c r="D277" s="10"/>
      <c r="E277" s="10"/>
    </row>
    <row r="278" spans="1:5" ht="15">
      <c r="A278" s="10"/>
      <c r="B278" s="20" t="s">
        <v>17</v>
      </c>
      <c r="C278" s="6" t="s">
        <v>190</v>
      </c>
      <c r="D278" s="6" t="s">
        <v>191</v>
      </c>
      <c r="E278" s="6" t="s">
        <v>34</v>
      </c>
    </row>
    <row r="279" spans="1:5" ht="15">
      <c r="A279" s="6" t="s">
        <v>8</v>
      </c>
      <c r="B279" s="14">
        <v>36</v>
      </c>
      <c r="C279" s="9"/>
      <c r="D279" s="9"/>
      <c r="E279" s="9"/>
    </row>
    <row r="280" spans="1:5" ht="15">
      <c r="A280" s="6" t="s">
        <v>9</v>
      </c>
      <c r="B280" s="14">
        <v>36</v>
      </c>
      <c r="C280" s="9">
        <v>14</v>
      </c>
      <c r="D280" s="9"/>
      <c r="E280" s="9"/>
    </row>
    <row r="281" spans="1:5" ht="15">
      <c r="A281" s="6" t="s">
        <v>10</v>
      </c>
      <c r="B281" s="14"/>
      <c r="C281" s="9"/>
      <c r="D281" s="9"/>
      <c r="E281" s="9"/>
    </row>
    <row r="282" spans="1:5" ht="15">
      <c r="A282" s="6" t="s">
        <v>11</v>
      </c>
      <c r="B282" s="14"/>
      <c r="C282" s="9"/>
      <c r="D282" s="9"/>
      <c r="E282" s="9"/>
    </row>
    <row r="283" spans="1:5" ht="15">
      <c r="A283" s="6" t="s">
        <v>12</v>
      </c>
      <c r="B283" s="14"/>
      <c r="C283" s="9"/>
      <c r="D283" s="9"/>
      <c r="E283" s="9"/>
    </row>
    <row r="284" spans="1:5" ht="15">
      <c r="A284" s="6" t="s">
        <v>13</v>
      </c>
      <c r="B284" s="14"/>
      <c r="C284" s="9"/>
      <c r="D284" s="9"/>
      <c r="E284" s="9"/>
    </row>
    <row r="285" spans="1:5" ht="15">
      <c r="A285" s="6" t="s">
        <v>14</v>
      </c>
      <c r="B285" s="14"/>
      <c r="C285" s="9"/>
      <c r="D285" s="9"/>
      <c r="E285" s="9"/>
    </row>
    <row r="286" spans="1:5" ht="15">
      <c r="A286" s="10"/>
      <c r="B286" s="20" t="s">
        <v>17</v>
      </c>
      <c r="C286" s="6" t="s">
        <v>18</v>
      </c>
      <c r="D286" s="10"/>
      <c r="E286" s="10"/>
    </row>
    <row r="287" spans="1:5" ht="15">
      <c r="A287" s="6" t="s">
        <v>16</v>
      </c>
      <c r="B287" s="14">
        <v>4</v>
      </c>
      <c r="C287" s="9">
        <v>40</v>
      </c>
      <c r="D287" s="10"/>
      <c r="E287" s="10"/>
    </row>
    <row r="288" spans="1:5" ht="15">
      <c r="A288" s="6" t="s">
        <v>15</v>
      </c>
      <c r="B288" s="14"/>
      <c r="C288" s="9"/>
      <c r="D288" s="10"/>
      <c r="E288" s="10"/>
    </row>
    <row r="289" ht="15">
      <c r="B289" s="4"/>
    </row>
    <row r="290" ht="15">
      <c r="B290" s="4"/>
    </row>
    <row r="291" spans="1:5" ht="15">
      <c r="A291" s="28" t="s">
        <v>7</v>
      </c>
      <c r="B291" s="20" t="s">
        <v>17</v>
      </c>
      <c r="C291" s="10"/>
      <c r="D291" s="10"/>
      <c r="E291" s="10"/>
    </row>
    <row r="292" spans="1:5" ht="15">
      <c r="A292" s="8" t="s">
        <v>69</v>
      </c>
      <c r="B292" s="14">
        <v>1</v>
      </c>
      <c r="C292" s="10"/>
      <c r="D292" s="10"/>
      <c r="E292" s="10"/>
    </row>
    <row r="293" spans="1:5" ht="15">
      <c r="A293" s="10"/>
      <c r="B293" s="20" t="s">
        <v>17</v>
      </c>
      <c r="C293" s="6" t="s">
        <v>190</v>
      </c>
      <c r="D293" s="6" t="s">
        <v>191</v>
      </c>
      <c r="E293" s="6" t="s">
        <v>34</v>
      </c>
    </row>
    <row r="294" spans="1:5" ht="15">
      <c r="A294" s="6" t="s">
        <v>8</v>
      </c>
      <c r="B294" s="14">
        <v>6</v>
      </c>
      <c r="C294" s="9"/>
      <c r="D294" s="9"/>
      <c r="E294" s="9"/>
    </row>
    <row r="295" spans="1:5" ht="15">
      <c r="A295" s="6" t="s">
        <v>9</v>
      </c>
      <c r="B295" s="14">
        <v>6</v>
      </c>
      <c r="C295" s="9">
        <v>14</v>
      </c>
      <c r="D295" s="9"/>
      <c r="E295" s="9"/>
    </row>
    <row r="296" spans="1:5" ht="15">
      <c r="A296" s="6" t="s">
        <v>10</v>
      </c>
      <c r="B296" s="14"/>
      <c r="C296" s="9"/>
      <c r="D296" s="9"/>
      <c r="E296" s="9"/>
    </row>
    <row r="297" spans="1:5" ht="15">
      <c r="A297" s="6" t="s">
        <v>11</v>
      </c>
      <c r="B297" s="14"/>
      <c r="C297" s="9"/>
      <c r="D297" s="9"/>
      <c r="E297" s="9"/>
    </row>
    <row r="298" spans="1:5" ht="15">
      <c r="A298" s="6" t="s">
        <v>12</v>
      </c>
      <c r="B298" s="14"/>
      <c r="C298" s="9"/>
      <c r="D298" s="9"/>
      <c r="E298" s="9"/>
    </row>
    <row r="299" spans="1:5" ht="15">
      <c r="A299" s="6" t="s">
        <v>13</v>
      </c>
      <c r="B299" s="14"/>
      <c r="C299" s="9"/>
      <c r="D299" s="9"/>
      <c r="E299" s="9"/>
    </row>
    <row r="300" spans="1:5" ht="15">
      <c r="A300" s="6" t="s">
        <v>14</v>
      </c>
      <c r="B300" s="14"/>
      <c r="C300" s="9"/>
      <c r="D300" s="9"/>
      <c r="E300" s="9"/>
    </row>
    <row r="301" spans="1:5" ht="15">
      <c r="A301" s="10"/>
      <c r="B301" s="20" t="s">
        <v>17</v>
      </c>
      <c r="C301" s="6" t="s">
        <v>18</v>
      </c>
      <c r="D301" s="10"/>
      <c r="E301" s="10"/>
    </row>
    <row r="302" spans="1:5" ht="15">
      <c r="A302" s="6" t="s">
        <v>16</v>
      </c>
      <c r="B302" s="14">
        <v>1</v>
      </c>
      <c r="C302" s="9">
        <v>36</v>
      </c>
      <c r="D302" s="10"/>
      <c r="E302" s="10"/>
    </row>
    <row r="303" spans="1:5" ht="15">
      <c r="A303" s="6" t="s">
        <v>15</v>
      </c>
      <c r="B303" s="14"/>
      <c r="C303" s="9"/>
      <c r="D303" s="10"/>
      <c r="E303" s="10"/>
    </row>
    <row r="304" ht="15">
      <c r="B304" s="4"/>
    </row>
    <row r="305" ht="15">
      <c r="B305" s="4"/>
    </row>
    <row r="306" spans="1:5" ht="15">
      <c r="A306" s="28" t="s">
        <v>7</v>
      </c>
      <c r="B306" s="20" t="s">
        <v>17</v>
      </c>
      <c r="C306" s="10"/>
      <c r="D306" s="10"/>
      <c r="E306" s="10"/>
    </row>
    <row r="307" spans="1:5" ht="15">
      <c r="A307" s="8" t="s">
        <v>70</v>
      </c>
      <c r="B307" s="14">
        <v>1</v>
      </c>
      <c r="C307" s="10"/>
      <c r="D307" s="10"/>
      <c r="E307" s="10"/>
    </row>
    <row r="308" spans="1:5" ht="15">
      <c r="A308" s="10"/>
      <c r="B308" s="20" t="s">
        <v>17</v>
      </c>
      <c r="C308" s="6" t="s">
        <v>190</v>
      </c>
      <c r="D308" s="6" t="s">
        <v>191</v>
      </c>
      <c r="E308" s="6" t="s">
        <v>34</v>
      </c>
    </row>
    <row r="309" spans="1:5" ht="15">
      <c r="A309" s="6" t="s">
        <v>8</v>
      </c>
      <c r="B309" s="14">
        <v>5</v>
      </c>
      <c r="C309" s="9"/>
      <c r="D309" s="9"/>
      <c r="E309" s="9"/>
    </row>
    <row r="310" spans="1:5" ht="15">
      <c r="A310" s="6" t="s">
        <v>9</v>
      </c>
      <c r="B310" s="14">
        <v>5</v>
      </c>
      <c r="C310" s="9">
        <v>14</v>
      </c>
      <c r="D310" s="9"/>
      <c r="E310" s="9"/>
    </row>
    <row r="311" spans="1:5" ht="15">
      <c r="A311" s="6" t="s">
        <v>10</v>
      </c>
      <c r="B311" s="14"/>
      <c r="C311" s="9"/>
      <c r="D311" s="9"/>
      <c r="E311" s="9"/>
    </row>
    <row r="312" spans="1:5" ht="15">
      <c r="A312" s="6" t="s">
        <v>11</v>
      </c>
      <c r="B312" s="14"/>
      <c r="C312" s="9"/>
      <c r="D312" s="9"/>
      <c r="E312" s="9"/>
    </row>
    <row r="313" spans="1:5" ht="15">
      <c r="A313" s="6" t="s">
        <v>12</v>
      </c>
      <c r="B313" s="14"/>
      <c r="C313" s="9"/>
      <c r="D313" s="9"/>
      <c r="E313" s="9"/>
    </row>
    <row r="314" spans="1:5" ht="15">
      <c r="A314" s="6" t="s">
        <v>13</v>
      </c>
      <c r="B314" s="14"/>
      <c r="C314" s="9"/>
      <c r="D314" s="9"/>
      <c r="E314" s="9"/>
    </row>
    <row r="315" spans="1:5" ht="15">
      <c r="A315" s="6" t="s">
        <v>14</v>
      </c>
      <c r="B315" s="14"/>
      <c r="C315" s="9"/>
      <c r="D315" s="9"/>
      <c r="E315" s="9"/>
    </row>
    <row r="316" spans="1:5" ht="15">
      <c r="A316" s="10"/>
      <c r="B316" s="20" t="s">
        <v>17</v>
      </c>
      <c r="C316" s="6" t="s">
        <v>18</v>
      </c>
      <c r="D316" s="10"/>
      <c r="E316" s="10"/>
    </row>
    <row r="317" spans="1:5" ht="15">
      <c r="A317" s="6" t="s">
        <v>16</v>
      </c>
      <c r="B317" s="14">
        <v>1</v>
      </c>
      <c r="C317" s="9">
        <v>28</v>
      </c>
      <c r="D317" s="10"/>
      <c r="E317" s="10"/>
    </row>
    <row r="318" spans="1:5" ht="15">
      <c r="A318" s="6" t="s">
        <v>15</v>
      </c>
      <c r="B318" s="14"/>
      <c r="C318" s="9"/>
      <c r="D318" s="10"/>
      <c r="E318" s="10"/>
    </row>
    <row r="319" ht="15">
      <c r="B319" s="4"/>
    </row>
    <row r="320" ht="15">
      <c r="B320" s="4"/>
    </row>
    <row r="321" spans="1:5" ht="15">
      <c r="A321" s="28" t="s">
        <v>7</v>
      </c>
      <c r="B321" s="20" t="s">
        <v>17</v>
      </c>
      <c r="C321" s="10"/>
      <c r="D321" s="10"/>
      <c r="E321" s="10"/>
    </row>
    <row r="322" spans="1:5" ht="15">
      <c r="A322" s="8" t="s">
        <v>71</v>
      </c>
      <c r="B322" s="14">
        <v>3</v>
      </c>
      <c r="C322" s="10"/>
      <c r="D322" s="10"/>
      <c r="E322" s="10"/>
    </row>
    <row r="323" spans="1:5" ht="15">
      <c r="A323" s="10"/>
      <c r="B323" s="20" t="s">
        <v>17</v>
      </c>
      <c r="C323" s="6" t="s">
        <v>190</v>
      </c>
      <c r="D323" s="6" t="s">
        <v>191</v>
      </c>
      <c r="E323" s="6" t="s">
        <v>34</v>
      </c>
    </row>
    <row r="324" spans="1:5" ht="15">
      <c r="A324" s="6" t="s">
        <v>8</v>
      </c>
      <c r="B324" s="14">
        <v>18</v>
      </c>
      <c r="C324" s="9"/>
      <c r="D324" s="9"/>
      <c r="E324" s="9"/>
    </row>
    <row r="325" spans="1:5" ht="15">
      <c r="A325" s="6" t="s">
        <v>9</v>
      </c>
      <c r="B325" s="14">
        <v>18</v>
      </c>
      <c r="C325" s="9">
        <v>14</v>
      </c>
      <c r="D325" s="9"/>
      <c r="E325" s="9"/>
    </row>
    <row r="326" spans="1:5" ht="15">
      <c r="A326" s="6" t="s">
        <v>10</v>
      </c>
      <c r="B326" s="14"/>
      <c r="C326" s="9"/>
      <c r="D326" s="9"/>
      <c r="E326" s="9"/>
    </row>
    <row r="327" spans="1:5" ht="15">
      <c r="A327" s="6" t="s">
        <v>11</v>
      </c>
      <c r="B327" s="14"/>
      <c r="C327" s="9"/>
      <c r="D327" s="9"/>
      <c r="E327" s="9"/>
    </row>
    <row r="328" spans="1:5" ht="15">
      <c r="A328" s="6" t="s">
        <v>12</v>
      </c>
      <c r="B328" s="14"/>
      <c r="C328" s="9"/>
      <c r="D328" s="9"/>
      <c r="E328" s="9"/>
    </row>
    <row r="329" spans="1:5" ht="15">
      <c r="A329" s="6" t="s">
        <v>13</v>
      </c>
      <c r="B329" s="14"/>
      <c r="C329" s="9"/>
      <c r="D329" s="9"/>
      <c r="E329" s="9"/>
    </row>
    <row r="330" spans="1:5" ht="15">
      <c r="A330" s="6" t="s">
        <v>14</v>
      </c>
      <c r="B330" s="14"/>
      <c r="C330" s="9"/>
      <c r="D330" s="9"/>
      <c r="E330" s="9"/>
    </row>
    <row r="331" spans="1:5" ht="15">
      <c r="A331" s="10"/>
      <c r="B331" s="20" t="s">
        <v>17</v>
      </c>
      <c r="C331" s="6" t="s">
        <v>18</v>
      </c>
      <c r="D331" s="10"/>
      <c r="E331" s="10"/>
    </row>
    <row r="332" spans="1:5" ht="15">
      <c r="A332" s="6" t="s">
        <v>16</v>
      </c>
      <c r="B332" s="14">
        <v>3</v>
      </c>
      <c r="C332" s="9">
        <v>31</v>
      </c>
      <c r="D332" s="10"/>
      <c r="E332" s="10"/>
    </row>
    <row r="333" spans="1:5" ht="15">
      <c r="A333" s="6" t="s">
        <v>15</v>
      </c>
      <c r="B333" s="14"/>
      <c r="C333" s="9"/>
      <c r="D333" s="10"/>
      <c r="E333" s="10"/>
    </row>
    <row r="334" ht="15">
      <c r="B334" s="4"/>
    </row>
    <row r="335" ht="15">
      <c r="B335" s="4"/>
    </row>
    <row r="336" spans="1:5" ht="15">
      <c r="A336" s="28" t="s">
        <v>7</v>
      </c>
      <c r="B336" s="20" t="s">
        <v>17</v>
      </c>
      <c r="C336" s="10"/>
      <c r="D336" s="10"/>
      <c r="E336" s="10"/>
    </row>
    <row r="337" spans="1:5" ht="15">
      <c r="A337" s="8" t="s">
        <v>72</v>
      </c>
      <c r="B337" s="14">
        <v>2</v>
      </c>
      <c r="C337" s="10"/>
      <c r="D337" s="10"/>
      <c r="E337" s="10"/>
    </row>
    <row r="338" spans="1:5" ht="15">
      <c r="A338" s="10"/>
      <c r="B338" s="20" t="s">
        <v>17</v>
      </c>
      <c r="C338" s="6" t="s">
        <v>190</v>
      </c>
      <c r="D338" s="6" t="s">
        <v>191</v>
      </c>
      <c r="E338" s="6" t="s">
        <v>34</v>
      </c>
    </row>
    <row r="339" spans="1:5" ht="15">
      <c r="A339" s="6" t="s">
        <v>8</v>
      </c>
      <c r="B339" s="14">
        <v>12</v>
      </c>
      <c r="C339" s="9"/>
      <c r="D339" s="9"/>
      <c r="E339" s="9"/>
    </row>
    <row r="340" spans="1:5" ht="15">
      <c r="A340" s="6" t="s">
        <v>9</v>
      </c>
      <c r="B340" s="14">
        <v>12</v>
      </c>
      <c r="C340" s="9">
        <v>14</v>
      </c>
      <c r="D340" s="9"/>
      <c r="E340" s="9"/>
    </row>
    <row r="341" spans="1:5" ht="15">
      <c r="A341" s="6" t="s">
        <v>10</v>
      </c>
      <c r="B341" s="14"/>
      <c r="C341" s="9"/>
      <c r="D341" s="9"/>
      <c r="E341" s="9"/>
    </row>
    <row r="342" spans="1:5" ht="15">
      <c r="A342" s="6" t="s">
        <v>11</v>
      </c>
      <c r="B342" s="14"/>
      <c r="C342" s="9"/>
      <c r="D342" s="9"/>
      <c r="E342" s="9"/>
    </row>
    <row r="343" spans="1:5" ht="15">
      <c r="A343" s="6" t="s">
        <v>12</v>
      </c>
      <c r="B343" s="14"/>
      <c r="C343" s="9"/>
      <c r="D343" s="9"/>
      <c r="E343" s="9"/>
    </row>
    <row r="344" spans="1:5" ht="15">
      <c r="A344" s="6" t="s">
        <v>13</v>
      </c>
      <c r="B344" s="14"/>
      <c r="C344" s="9"/>
      <c r="D344" s="9"/>
      <c r="E344" s="9"/>
    </row>
    <row r="345" spans="1:5" ht="15">
      <c r="A345" s="6" t="s">
        <v>14</v>
      </c>
      <c r="B345" s="14"/>
      <c r="C345" s="9"/>
      <c r="D345" s="9"/>
      <c r="E345" s="9"/>
    </row>
    <row r="346" spans="1:5" ht="15">
      <c r="A346" s="10"/>
      <c r="B346" s="20" t="s">
        <v>17</v>
      </c>
      <c r="C346" s="6" t="s">
        <v>18</v>
      </c>
      <c r="D346" s="10"/>
      <c r="E346" s="10"/>
    </row>
    <row r="347" spans="1:5" ht="15">
      <c r="A347" s="6" t="s">
        <v>16</v>
      </c>
      <c r="B347" s="14">
        <v>2</v>
      </c>
      <c r="C347" s="9">
        <v>28</v>
      </c>
      <c r="D347" s="10"/>
      <c r="E347" s="10"/>
    </row>
    <row r="348" spans="1:5" ht="15">
      <c r="A348" s="6" t="s">
        <v>15</v>
      </c>
      <c r="B348" s="14"/>
      <c r="C348" s="9"/>
      <c r="D348" s="10"/>
      <c r="E348" s="10"/>
    </row>
    <row r="349" ht="15">
      <c r="B349" s="4"/>
    </row>
    <row r="350" ht="15">
      <c r="B350" s="4"/>
    </row>
    <row r="351" spans="1:5" ht="15">
      <c r="A351" s="28" t="s">
        <v>7</v>
      </c>
      <c r="B351" s="20" t="s">
        <v>17</v>
      </c>
      <c r="C351" s="10"/>
      <c r="D351" s="10"/>
      <c r="E351" s="10"/>
    </row>
    <row r="352" spans="1:5" ht="15">
      <c r="A352" s="8" t="s">
        <v>73</v>
      </c>
      <c r="B352" s="14">
        <v>3</v>
      </c>
      <c r="C352" s="10"/>
      <c r="D352" s="10"/>
      <c r="E352" s="10"/>
    </row>
    <row r="353" spans="1:5" ht="15">
      <c r="A353" s="10"/>
      <c r="B353" s="20" t="s">
        <v>17</v>
      </c>
      <c r="C353" s="6" t="s">
        <v>190</v>
      </c>
      <c r="D353" s="6" t="s">
        <v>191</v>
      </c>
      <c r="E353" s="6" t="s">
        <v>34</v>
      </c>
    </row>
    <row r="354" spans="1:5" ht="15">
      <c r="A354" s="6" t="s">
        <v>8</v>
      </c>
      <c r="B354" s="14">
        <v>24</v>
      </c>
      <c r="C354" s="9"/>
      <c r="D354" s="9"/>
      <c r="E354" s="9"/>
    </row>
    <row r="355" spans="1:5" ht="15">
      <c r="A355" s="6" t="s">
        <v>9</v>
      </c>
      <c r="B355" s="14">
        <v>24</v>
      </c>
      <c r="C355" s="9">
        <v>14</v>
      </c>
      <c r="D355" s="9"/>
      <c r="E355" s="9"/>
    </row>
    <row r="356" spans="1:5" ht="15">
      <c r="A356" s="6" t="s">
        <v>10</v>
      </c>
      <c r="B356" s="14"/>
      <c r="C356" s="9"/>
      <c r="D356" s="9"/>
      <c r="E356" s="9"/>
    </row>
    <row r="357" spans="1:5" ht="15">
      <c r="A357" s="6" t="s">
        <v>11</v>
      </c>
      <c r="B357" s="14"/>
      <c r="C357" s="9"/>
      <c r="D357" s="9"/>
      <c r="E357" s="9"/>
    </row>
    <row r="358" spans="1:5" ht="15">
      <c r="A358" s="6" t="s">
        <v>12</v>
      </c>
      <c r="B358" s="14"/>
      <c r="C358" s="9"/>
      <c r="D358" s="9"/>
      <c r="E358" s="9"/>
    </row>
    <row r="359" spans="1:5" ht="15">
      <c r="A359" s="6" t="s">
        <v>13</v>
      </c>
      <c r="B359" s="14"/>
      <c r="C359" s="9"/>
      <c r="D359" s="9"/>
      <c r="E359" s="9"/>
    </row>
    <row r="360" spans="1:5" ht="15">
      <c r="A360" s="6" t="s">
        <v>14</v>
      </c>
      <c r="B360" s="14"/>
      <c r="C360" s="9"/>
      <c r="D360" s="9"/>
      <c r="E360" s="9"/>
    </row>
    <row r="361" spans="1:5" ht="15">
      <c r="A361" s="10"/>
      <c r="B361" s="20" t="s">
        <v>17</v>
      </c>
      <c r="C361" s="6" t="s">
        <v>18</v>
      </c>
      <c r="D361" s="10"/>
      <c r="E361" s="10"/>
    </row>
    <row r="362" spans="1:5" ht="15">
      <c r="A362" s="6" t="s">
        <v>16</v>
      </c>
      <c r="B362" s="14">
        <v>3</v>
      </c>
      <c r="C362" s="9">
        <v>27</v>
      </c>
      <c r="D362" s="10"/>
      <c r="E362" s="10"/>
    </row>
    <row r="363" spans="1:5" ht="15">
      <c r="A363" s="6" t="s">
        <v>15</v>
      </c>
      <c r="B363" s="14"/>
      <c r="C363" s="9"/>
      <c r="D363" s="10"/>
      <c r="E363" s="10"/>
    </row>
    <row r="364" ht="15">
      <c r="B364" s="4"/>
    </row>
    <row r="365" ht="15">
      <c r="B365" s="4"/>
    </row>
    <row r="366" spans="1:5" ht="15">
      <c r="A366" s="28" t="s">
        <v>7</v>
      </c>
      <c r="B366" s="20" t="s">
        <v>17</v>
      </c>
      <c r="C366" s="10"/>
      <c r="D366" s="10"/>
      <c r="E366" s="10"/>
    </row>
    <row r="367" spans="1:5" ht="15">
      <c r="A367" s="8" t="s">
        <v>74</v>
      </c>
      <c r="B367" s="14">
        <v>3</v>
      </c>
      <c r="C367" s="10"/>
      <c r="D367" s="10"/>
      <c r="E367" s="10"/>
    </row>
    <row r="368" spans="1:5" ht="15">
      <c r="A368" s="10"/>
      <c r="B368" s="20" t="s">
        <v>17</v>
      </c>
      <c r="C368" s="6" t="s">
        <v>190</v>
      </c>
      <c r="D368" s="6" t="s">
        <v>191</v>
      </c>
      <c r="E368" s="6" t="s">
        <v>34</v>
      </c>
    </row>
    <row r="369" spans="1:5" ht="15">
      <c r="A369" s="6" t="s">
        <v>8</v>
      </c>
      <c r="B369" s="14">
        <v>24</v>
      </c>
      <c r="C369" s="9"/>
      <c r="D369" s="9"/>
      <c r="E369" s="9"/>
    </row>
    <row r="370" spans="1:5" ht="15">
      <c r="A370" s="6" t="s">
        <v>9</v>
      </c>
      <c r="B370" s="14">
        <v>24</v>
      </c>
      <c r="C370" s="9">
        <v>14</v>
      </c>
      <c r="D370" s="9"/>
      <c r="E370" s="9"/>
    </row>
    <row r="371" spans="1:5" ht="15">
      <c r="A371" s="6" t="s">
        <v>10</v>
      </c>
      <c r="B371" s="14"/>
      <c r="C371" s="9"/>
      <c r="D371" s="9"/>
      <c r="E371" s="9"/>
    </row>
    <row r="372" spans="1:5" ht="15">
      <c r="A372" s="6" t="s">
        <v>11</v>
      </c>
      <c r="B372" s="14"/>
      <c r="C372" s="9"/>
      <c r="D372" s="9"/>
      <c r="E372" s="9"/>
    </row>
    <row r="373" spans="1:5" ht="15">
      <c r="A373" s="6" t="s">
        <v>12</v>
      </c>
      <c r="B373" s="14"/>
      <c r="C373" s="9"/>
      <c r="D373" s="9"/>
      <c r="E373" s="9"/>
    </row>
    <row r="374" spans="1:5" ht="15">
      <c r="A374" s="6" t="s">
        <v>13</v>
      </c>
      <c r="B374" s="14"/>
      <c r="C374" s="9"/>
      <c r="D374" s="9"/>
      <c r="E374" s="9"/>
    </row>
    <row r="375" spans="1:5" ht="15">
      <c r="A375" s="6" t="s">
        <v>14</v>
      </c>
      <c r="B375" s="14"/>
      <c r="C375" s="9"/>
      <c r="D375" s="9"/>
      <c r="E375" s="9"/>
    </row>
    <row r="376" spans="1:5" ht="15">
      <c r="A376" s="10"/>
      <c r="B376" s="20" t="s">
        <v>17</v>
      </c>
      <c r="C376" s="6" t="s">
        <v>18</v>
      </c>
      <c r="D376" s="10"/>
      <c r="E376" s="10"/>
    </row>
    <row r="377" spans="1:5" ht="15">
      <c r="A377" s="6" t="s">
        <v>16</v>
      </c>
      <c r="B377" s="14">
        <v>3</v>
      </c>
      <c r="C377" s="9">
        <v>29</v>
      </c>
      <c r="D377" s="10"/>
      <c r="E377" s="10"/>
    </row>
    <row r="378" spans="1:5" ht="15">
      <c r="A378" s="6" t="s">
        <v>15</v>
      </c>
      <c r="B378" s="14"/>
      <c r="C378" s="9"/>
      <c r="D378" s="10"/>
      <c r="E378" s="10"/>
    </row>
    <row r="379" ht="15">
      <c r="B379" s="4"/>
    </row>
    <row r="380" ht="15">
      <c r="B380" s="4"/>
    </row>
    <row r="381" spans="1:5" ht="15">
      <c r="A381" s="28" t="s">
        <v>7</v>
      </c>
      <c r="B381" s="20" t="s">
        <v>17</v>
      </c>
      <c r="C381" s="10"/>
      <c r="D381" s="10"/>
      <c r="E381" s="10"/>
    </row>
    <row r="382" spans="1:5" ht="15">
      <c r="A382" s="8" t="s">
        <v>75</v>
      </c>
      <c r="B382" s="14">
        <v>3</v>
      </c>
      <c r="C382" s="10"/>
      <c r="D382" s="10"/>
      <c r="E382" s="10"/>
    </row>
    <row r="383" spans="1:5" ht="15">
      <c r="A383" s="10"/>
      <c r="B383" s="20" t="s">
        <v>17</v>
      </c>
      <c r="C383" s="6" t="s">
        <v>190</v>
      </c>
      <c r="D383" s="6" t="s">
        <v>191</v>
      </c>
      <c r="E383" s="6" t="s">
        <v>34</v>
      </c>
    </row>
    <row r="384" spans="1:5" ht="15">
      <c r="A384" s="6" t="s">
        <v>8</v>
      </c>
      <c r="B384" s="14">
        <v>20</v>
      </c>
      <c r="C384" s="9"/>
      <c r="D384" s="9"/>
      <c r="E384" s="9"/>
    </row>
    <row r="385" spans="1:5" ht="15">
      <c r="A385" s="6" t="s">
        <v>9</v>
      </c>
      <c r="B385" s="14">
        <v>20</v>
      </c>
      <c r="C385" s="9">
        <v>14</v>
      </c>
      <c r="D385" s="9"/>
      <c r="E385" s="9"/>
    </row>
    <row r="386" spans="1:5" ht="15">
      <c r="A386" s="6" t="s">
        <v>10</v>
      </c>
      <c r="B386" s="14"/>
      <c r="C386" s="9"/>
      <c r="D386" s="9"/>
      <c r="E386" s="9"/>
    </row>
    <row r="387" spans="1:5" ht="15">
      <c r="A387" s="6" t="s">
        <v>11</v>
      </c>
      <c r="B387" s="14"/>
      <c r="C387" s="9"/>
      <c r="D387" s="9"/>
      <c r="E387" s="9"/>
    </row>
    <row r="388" spans="1:5" ht="15">
      <c r="A388" s="6" t="s">
        <v>12</v>
      </c>
      <c r="B388" s="14"/>
      <c r="C388" s="9"/>
      <c r="D388" s="9"/>
      <c r="E388" s="9"/>
    </row>
    <row r="389" spans="1:5" ht="15">
      <c r="A389" s="6" t="s">
        <v>13</v>
      </c>
      <c r="B389" s="9"/>
      <c r="C389" s="9"/>
      <c r="D389" s="9"/>
      <c r="E389" s="9"/>
    </row>
    <row r="390" spans="1:5" ht="15">
      <c r="A390" s="6" t="s">
        <v>14</v>
      </c>
      <c r="B390" s="9"/>
      <c r="C390" s="9"/>
      <c r="D390" s="9"/>
      <c r="E390" s="9"/>
    </row>
    <row r="391" spans="1:5" ht="15">
      <c r="A391" s="10"/>
      <c r="B391" s="6" t="s">
        <v>17</v>
      </c>
      <c r="C391" s="6" t="s">
        <v>18</v>
      </c>
      <c r="D391" s="10"/>
      <c r="E391" s="10"/>
    </row>
    <row r="392" spans="1:5" ht="15">
      <c r="A392" s="6" t="s">
        <v>16</v>
      </c>
      <c r="B392" s="9">
        <v>3</v>
      </c>
      <c r="C392" s="9">
        <v>28</v>
      </c>
      <c r="D392" s="10"/>
      <c r="E392" s="10"/>
    </row>
    <row r="393" spans="1:5" ht="15">
      <c r="A393" s="6" t="s">
        <v>15</v>
      </c>
      <c r="B393" s="9"/>
      <c r="C393" s="9"/>
      <c r="D393" s="10"/>
      <c r="E393" s="10"/>
    </row>
    <row r="396" spans="1:5" ht="15">
      <c r="A396" s="28" t="s">
        <v>7</v>
      </c>
      <c r="B396" s="6" t="s">
        <v>17</v>
      </c>
      <c r="C396" s="10"/>
      <c r="D396" s="10"/>
      <c r="E396" s="10"/>
    </row>
    <row r="397" spans="1:5" ht="15">
      <c r="A397" s="8" t="s">
        <v>76</v>
      </c>
      <c r="B397" s="9">
        <v>3</v>
      </c>
      <c r="C397" s="10"/>
      <c r="D397" s="10"/>
      <c r="E397" s="10"/>
    </row>
    <row r="398" spans="1:5" ht="15">
      <c r="A398" s="10"/>
      <c r="B398" s="6" t="s">
        <v>17</v>
      </c>
      <c r="C398" s="6" t="s">
        <v>190</v>
      </c>
      <c r="D398" s="6" t="s">
        <v>191</v>
      </c>
      <c r="E398" s="6" t="s">
        <v>34</v>
      </c>
    </row>
    <row r="399" spans="1:5" ht="15">
      <c r="A399" s="6" t="s">
        <v>8</v>
      </c>
      <c r="B399" s="9">
        <v>16</v>
      </c>
      <c r="C399" s="9"/>
      <c r="D399" s="9"/>
      <c r="E399" s="9"/>
    </row>
    <row r="400" spans="1:5" ht="15">
      <c r="A400" s="6" t="s">
        <v>9</v>
      </c>
      <c r="B400" s="9">
        <v>16</v>
      </c>
      <c r="C400" s="9">
        <v>14</v>
      </c>
      <c r="D400" s="9"/>
      <c r="E400" s="9"/>
    </row>
    <row r="401" spans="1:5" ht="15">
      <c r="A401" s="6" t="s">
        <v>10</v>
      </c>
      <c r="B401" s="9"/>
      <c r="C401" s="9"/>
      <c r="D401" s="9"/>
      <c r="E401" s="9"/>
    </row>
    <row r="402" spans="1:5" ht="15">
      <c r="A402" s="6" t="s">
        <v>11</v>
      </c>
      <c r="B402" s="9"/>
      <c r="C402" s="9"/>
      <c r="D402" s="9"/>
      <c r="E402" s="9"/>
    </row>
    <row r="403" spans="1:5" ht="15">
      <c r="A403" s="6" t="s">
        <v>12</v>
      </c>
      <c r="B403" s="9"/>
      <c r="C403" s="9"/>
      <c r="D403" s="9"/>
      <c r="E403" s="9"/>
    </row>
    <row r="404" spans="1:5" ht="15">
      <c r="A404" s="6" t="s">
        <v>13</v>
      </c>
      <c r="B404" s="9"/>
      <c r="C404" s="9"/>
      <c r="D404" s="9"/>
      <c r="E404" s="9"/>
    </row>
    <row r="405" spans="1:5" ht="15">
      <c r="A405" s="6" t="s">
        <v>14</v>
      </c>
      <c r="B405" s="9"/>
      <c r="C405" s="9"/>
      <c r="D405" s="9"/>
      <c r="E405" s="9"/>
    </row>
    <row r="406" spans="1:5" ht="15">
      <c r="A406" s="10"/>
      <c r="B406" s="6" t="s">
        <v>17</v>
      </c>
      <c r="C406" s="6" t="s">
        <v>18</v>
      </c>
      <c r="D406" s="10"/>
      <c r="E406" s="10"/>
    </row>
    <row r="407" spans="1:5" ht="15">
      <c r="A407" s="6" t="s">
        <v>16</v>
      </c>
      <c r="B407" s="9">
        <v>3</v>
      </c>
      <c r="C407" s="9">
        <v>31</v>
      </c>
      <c r="D407" s="10"/>
      <c r="E407" s="10"/>
    </row>
    <row r="408" spans="1:5" ht="15">
      <c r="A408" s="6" t="s">
        <v>15</v>
      </c>
      <c r="B408" s="9"/>
      <c r="C408" s="9"/>
      <c r="D408" s="10"/>
      <c r="E408" s="10"/>
    </row>
    <row r="411" spans="1:5" ht="15">
      <c r="A411" s="28" t="s">
        <v>7</v>
      </c>
      <c r="B411" s="6" t="s">
        <v>17</v>
      </c>
      <c r="C411" s="10"/>
      <c r="D411" s="10"/>
      <c r="E411" s="10"/>
    </row>
    <row r="412" spans="1:5" ht="15">
      <c r="A412" s="8" t="s">
        <v>77</v>
      </c>
      <c r="B412" s="9">
        <v>6</v>
      </c>
      <c r="C412" s="10"/>
      <c r="D412" s="10"/>
      <c r="E412" s="10"/>
    </row>
    <row r="413" spans="1:5" ht="15">
      <c r="A413" s="10"/>
      <c r="B413" s="6" t="s">
        <v>17</v>
      </c>
      <c r="C413" s="6" t="s">
        <v>190</v>
      </c>
      <c r="D413" s="6" t="s">
        <v>191</v>
      </c>
      <c r="E413" s="6" t="s">
        <v>34</v>
      </c>
    </row>
    <row r="414" spans="1:5" ht="15">
      <c r="A414" s="6" t="s">
        <v>8</v>
      </c>
      <c r="B414" s="9">
        <v>36</v>
      </c>
      <c r="C414" s="9"/>
      <c r="D414" s="9"/>
      <c r="E414" s="9"/>
    </row>
    <row r="415" spans="1:5" ht="15">
      <c r="A415" s="6" t="s">
        <v>9</v>
      </c>
      <c r="B415" s="9">
        <v>36</v>
      </c>
      <c r="C415" s="9">
        <v>14</v>
      </c>
      <c r="D415" s="9"/>
      <c r="E415" s="9"/>
    </row>
    <row r="416" spans="1:5" ht="15">
      <c r="A416" s="6" t="s">
        <v>10</v>
      </c>
      <c r="B416" s="9"/>
      <c r="C416" s="9"/>
      <c r="D416" s="9"/>
      <c r="E416" s="9"/>
    </row>
    <row r="417" spans="1:5" ht="15">
      <c r="A417" s="6" t="s">
        <v>11</v>
      </c>
      <c r="B417" s="9"/>
      <c r="C417" s="9"/>
      <c r="D417" s="9"/>
      <c r="E417" s="9"/>
    </row>
    <row r="418" spans="1:5" ht="15">
      <c r="A418" s="6" t="s">
        <v>12</v>
      </c>
      <c r="B418" s="9"/>
      <c r="C418" s="9"/>
      <c r="D418" s="9"/>
      <c r="E418" s="9"/>
    </row>
    <row r="419" spans="1:5" ht="15">
      <c r="A419" s="6" t="s">
        <v>13</v>
      </c>
      <c r="B419" s="9"/>
      <c r="C419" s="9"/>
      <c r="D419" s="9"/>
      <c r="E419" s="9"/>
    </row>
    <row r="420" spans="1:5" ht="15">
      <c r="A420" s="6" t="s">
        <v>14</v>
      </c>
      <c r="B420" s="9"/>
      <c r="C420" s="9"/>
      <c r="D420" s="9"/>
      <c r="E420" s="9"/>
    </row>
    <row r="421" spans="1:5" ht="15">
      <c r="A421" s="10"/>
      <c r="B421" s="6" t="s">
        <v>17</v>
      </c>
      <c r="C421" s="6" t="s">
        <v>18</v>
      </c>
      <c r="D421" s="10"/>
      <c r="E421" s="10"/>
    </row>
    <row r="422" spans="1:5" ht="15">
      <c r="A422" s="6" t="s">
        <v>16</v>
      </c>
      <c r="B422" s="9">
        <v>6</v>
      </c>
      <c r="C422" s="9">
        <v>30</v>
      </c>
      <c r="D422" s="10"/>
      <c r="E422" s="10"/>
    </row>
    <row r="423" spans="1:5" ht="15">
      <c r="A423" s="6" t="s">
        <v>15</v>
      </c>
      <c r="B423" s="9"/>
      <c r="C423" s="9"/>
      <c r="D423" s="10"/>
      <c r="E423" s="10"/>
    </row>
    <row r="426" spans="1:5" ht="15">
      <c r="A426" s="28" t="s">
        <v>7</v>
      </c>
      <c r="B426" s="6" t="s">
        <v>17</v>
      </c>
      <c r="C426" s="10"/>
      <c r="D426" s="10"/>
      <c r="E426" s="10"/>
    </row>
    <row r="427" spans="1:5" ht="15">
      <c r="A427" s="8" t="s">
        <v>78</v>
      </c>
      <c r="B427" s="9">
        <v>5</v>
      </c>
      <c r="C427" s="10"/>
      <c r="D427" s="10"/>
      <c r="E427" s="10"/>
    </row>
    <row r="428" spans="1:5" ht="15">
      <c r="A428" s="10"/>
      <c r="B428" s="6" t="s">
        <v>17</v>
      </c>
      <c r="C428" s="6" t="s">
        <v>190</v>
      </c>
      <c r="D428" s="6" t="s">
        <v>191</v>
      </c>
      <c r="E428" s="6" t="s">
        <v>34</v>
      </c>
    </row>
    <row r="429" spans="1:5" ht="15">
      <c r="A429" s="6" t="s">
        <v>8</v>
      </c>
      <c r="B429" s="9">
        <v>28</v>
      </c>
      <c r="C429" s="9"/>
      <c r="D429" s="9"/>
      <c r="E429" s="9"/>
    </row>
    <row r="430" spans="1:5" ht="15">
      <c r="A430" s="6" t="s">
        <v>9</v>
      </c>
      <c r="B430" s="9">
        <v>28</v>
      </c>
      <c r="C430" s="9">
        <v>14</v>
      </c>
      <c r="D430" s="9"/>
      <c r="E430" s="9"/>
    </row>
    <row r="431" spans="1:5" ht="15">
      <c r="A431" s="6" t="s">
        <v>10</v>
      </c>
      <c r="B431" s="9"/>
      <c r="C431" s="9"/>
      <c r="D431" s="9"/>
      <c r="E431" s="9"/>
    </row>
    <row r="432" spans="1:5" ht="15">
      <c r="A432" s="6" t="s">
        <v>11</v>
      </c>
      <c r="B432" s="9"/>
      <c r="C432" s="9"/>
      <c r="D432" s="9"/>
      <c r="E432" s="9"/>
    </row>
    <row r="433" spans="1:5" ht="15">
      <c r="A433" s="6" t="s">
        <v>12</v>
      </c>
      <c r="B433" s="9"/>
      <c r="C433" s="9"/>
      <c r="D433" s="9"/>
      <c r="E433" s="9"/>
    </row>
    <row r="434" spans="1:5" ht="15">
      <c r="A434" s="6" t="s">
        <v>13</v>
      </c>
      <c r="B434" s="9"/>
      <c r="C434" s="9"/>
      <c r="D434" s="9"/>
      <c r="E434" s="9"/>
    </row>
    <row r="435" spans="1:5" ht="15">
      <c r="A435" s="6" t="s">
        <v>14</v>
      </c>
      <c r="B435" s="9"/>
      <c r="C435" s="9"/>
      <c r="D435" s="9"/>
      <c r="E435" s="9"/>
    </row>
    <row r="436" spans="1:5" ht="15">
      <c r="A436" s="10"/>
      <c r="B436" s="6" t="s">
        <v>17</v>
      </c>
      <c r="C436" s="6" t="s">
        <v>18</v>
      </c>
      <c r="D436" s="10"/>
      <c r="E436" s="10"/>
    </row>
    <row r="437" spans="1:5" ht="15">
      <c r="A437" s="6" t="s">
        <v>16</v>
      </c>
      <c r="B437" s="9">
        <v>5</v>
      </c>
      <c r="C437" s="9">
        <v>28</v>
      </c>
      <c r="D437" s="10"/>
      <c r="E437" s="10"/>
    </row>
    <row r="438" spans="1:5" ht="15">
      <c r="A438" s="6" t="s">
        <v>15</v>
      </c>
      <c r="B438" s="9"/>
      <c r="C438" s="9"/>
      <c r="D438" s="10"/>
      <c r="E438" s="10"/>
    </row>
    <row r="441" spans="1:5" ht="15">
      <c r="A441" s="28" t="s">
        <v>7</v>
      </c>
      <c r="B441" s="6" t="s">
        <v>17</v>
      </c>
      <c r="C441" s="10"/>
      <c r="D441" s="10"/>
      <c r="E441" s="10"/>
    </row>
    <row r="442" spans="1:5" ht="15">
      <c r="A442" s="8" t="s">
        <v>79</v>
      </c>
      <c r="B442" s="9">
        <v>3</v>
      </c>
      <c r="C442" s="10"/>
      <c r="D442" s="10"/>
      <c r="E442" s="10"/>
    </row>
    <row r="443" spans="1:5" ht="15">
      <c r="A443" s="10"/>
      <c r="B443" s="6" t="s">
        <v>17</v>
      </c>
      <c r="C443" s="6" t="s">
        <v>190</v>
      </c>
      <c r="D443" s="6" t="s">
        <v>191</v>
      </c>
      <c r="E443" s="6" t="s">
        <v>34</v>
      </c>
    </row>
    <row r="444" spans="1:5" ht="15">
      <c r="A444" s="6" t="s">
        <v>8</v>
      </c>
      <c r="B444" s="9">
        <v>16</v>
      </c>
      <c r="C444" s="9"/>
      <c r="D444" s="9"/>
      <c r="E444" s="9"/>
    </row>
    <row r="445" spans="1:5" ht="15">
      <c r="A445" s="6" t="s">
        <v>9</v>
      </c>
      <c r="B445" s="9">
        <v>16</v>
      </c>
      <c r="C445" s="9">
        <v>14</v>
      </c>
      <c r="D445" s="9"/>
      <c r="E445" s="9"/>
    </row>
    <row r="446" spans="1:5" ht="15">
      <c r="A446" s="6" t="s">
        <v>10</v>
      </c>
      <c r="B446" s="9"/>
      <c r="C446" s="9"/>
      <c r="D446" s="9"/>
      <c r="E446" s="9"/>
    </row>
    <row r="447" spans="1:5" ht="15">
      <c r="A447" s="6" t="s">
        <v>11</v>
      </c>
      <c r="B447" s="9"/>
      <c r="C447" s="9"/>
      <c r="D447" s="9"/>
      <c r="E447" s="9"/>
    </row>
    <row r="448" spans="1:5" ht="15">
      <c r="A448" s="6" t="s">
        <v>12</v>
      </c>
      <c r="B448" s="9"/>
      <c r="C448" s="9"/>
      <c r="D448" s="9"/>
      <c r="E448" s="9"/>
    </row>
    <row r="449" spans="1:5" ht="15">
      <c r="A449" s="6" t="s">
        <v>13</v>
      </c>
      <c r="B449" s="9"/>
      <c r="C449" s="9"/>
      <c r="D449" s="9"/>
      <c r="E449" s="9"/>
    </row>
    <row r="450" spans="1:5" ht="15">
      <c r="A450" s="6" t="s">
        <v>14</v>
      </c>
      <c r="B450" s="9"/>
      <c r="C450" s="9"/>
      <c r="D450" s="9"/>
      <c r="E450" s="9"/>
    </row>
    <row r="451" spans="1:5" ht="15">
      <c r="A451" s="10"/>
      <c r="B451" s="6" t="s">
        <v>17</v>
      </c>
      <c r="C451" s="6" t="s">
        <v>18</v>
      </c>
      <c r="D451" s="10"/>
      <c r="E451" s="10"/>
    </row>
    <row r="452" spans="1:5" ht="15">
      <c r="A452" s="6" t="s">
        <v>16</v>
      </c>
      <c r="B452" s="9">
        <v>3</v>
      </c>
      <c r="C452" s="9">
        <v>28</v>
      </c>
      <c r="D452" s="10"/>
      <c r="E452" s="10"/>
    </row>
    <row r="453" spans="1:5" ht="15">
      <c r="A453" s="6" t="s">
        <v>15</v>
      </c>
      <c r="B453" s="9"/>
      <c r="C453" s="9"/>
      <c r="D453" s="10"/>
      <c r="E453" s="10"/>
    </row>
    <row r="456" spans="1:5" ht="15">
      <c r="A456" s="28" t="s">
        <v>7</v>
      </c>
      <c r="B456" s="6" t="s">
        <v>17</v>
      </c>
      <c r="C456" s="10"/>
      <c r="D456" s="10"/>
      <c r="E456" s="10"/>
    </row>
    <row r="457" spans="1:5" ht="15">
      <c r="A457" s="8" t="s">
        <v>80</v>
      </c>
      <c r="B457" s="9">
        <v>4</v>
      </c>
      <c r="C457" s="10"/>
      <c r="D457" s="10"/>
      <c r="E457" s="10"/>
    </row>
    <row r="458" spans="1:5" ht="15">
      <c r="A458" s="10"/>
      <c r="B458" s="6" t="s">
        <v>17</v>
      </c>
      <c r="C458" s="6" t="s">
        <v>190</v>
      </c>
      <c r="D458" s="6" t="s">
        <v>191</v>
      </c>
      <c r="E458" s="6" t="s">
        <v>34</v>
      </c>
    </row>
    <row r="459" spans="1:5" ht="15">
      <c r="A459" s="6" t="s">
        <v>8</v>
      </c>
      <c r="B459" s="9">
        <v>24</v>
      </c>
      <c r="C459" s="9"/>
      <c r="D459" s="9"/>
      <c r="E459" s="9"/>
    </row>
    <row r="460" spans="1:5" ht="15">
      <c r="A460" s="6" t="s">
        <v>9</v>
      </c>
      <c r="B460" s="9">
        <v>24</v>
      </c>
      <c r="C460" s="9">
        <v>14</v>
      </c>
      <c r="D460" s="9"/>
      <c r="E460" s="9"/>
    </row>
    <row r="461" spans="1:5" ht="15">
      <c r="A461" s="6" t="s">
        <v>10</v>
      </c>
      <c r="B461" s="9"/>
      <c r="C461" s="9"/>
      <c r="D461" s="9"/>
      <c r="E461" s="9"/>
    </row>
    <row r="462" spans="1:5" ht="15">
      <c r="A462" s="6" t="s">
        <v>11</v>
      </c>
      <c r="B462" s="9"/>
      <c r="C462" s="9"/>
      <c r="D462" s="9"/>
      <c r="E462" s="9"/>
    </row>
    <row r="463" spans="1:5" ht="15">
      <c r="A463" s="6" t="s">
        <v>12</v>
      </c>
      <c r="B463" s="9"/>
      <c r="C463" s="9"/>
      <c r="D463" s="9"/>
      <c r="E463" s="9"/>
    </row>
    <row r="464" spans="1:5" ht="15">
      <c r="A464" s="6" t="s">
        <v>13</v>
      </c>
      <c r="B464" s="9"/>
      <c r="C464" s="9"/>
      <c r="D464" s="9"/>
      <c r="E464" s="9"/>
    </row>
    <row r="465" spans="1:5" ht="15">
      <c r="A465" s="6" t="s">
        <v>14</v>
      </c>
      <c r="B465" s="9"/>
      <c r="C465" s="9"/>
      <c r="D465" s="9"/>
      <c r="E465" s="9"/>
    </row>
    <row r="466" spans="1:5" ht="15">
      <c r="A466" s="10"/>
      <c r="B466" s="6" t="s">
        <v>17</v>
      </c>
      <c r="C466" s="6" t="s">
        <v>18</v>
      </c>
      <c r="D466" s="10"/>
      <c r="E466" s="10"/>
    </row>
    <row r="467" spans="1:5" ht="15">
      <c r="A467" s="6" t="s">
        <v>16</v>
      </c>
      <c r="B467" s="9">
        <v>4</v>
      </c>
      <c r="C467" s="9">
        <v>28</v>
      </c>
      <c r="D467" s="10"/>
      <c r="E467" s="10"/>
    </row>
    <row r="468" spans="1:5" ht="15">
      <c r="A468" s="6" t="s">
        <v>15</v>
      </c>
      <c r="B468" s="9"/>
      <c r="C468" s="9"/>
      <c r="D468" s="10"/>
      <c r="E468" s="10"/>
    </row>
    <row r="471" spans="1:5" ht="15">
      <c r="A471" s="28" t="s">
        <v>7</v>
      </c>
      <c r="B471" s="6" t="s">
        <v>17</v>
      </c>
      <c r="C471" s="10"/>
      <c r="D471" s="10"/>
      <c r="E471" s="10"/>
    </row>
    <row r="472" spans="1:5" ht="15">
      <c r="A472" s="8" t="s">
        <v>81</v>
      </c>
      <c r="B472" s="9">
        <v>5</v>
      </c>
      <c r="C472" s="10"/>
      <c r="D472" s="10"/>
      <c r="E472" s="10"/>
    </row>
    <row r="473" spans="1:5" ht="15">
      <c r="A473" s="10"/>
      <c r="B473" s="6" t="s">
        <v>17</v>
      </c>
      <c r="C473" s="6" t="s">
        <v>190</v>
      </c>
      <c r="D473" s="6" t="s">
        <v>191</v>
      </c>
      <c r="E473" s="6" t="s">
        <v>34</v>
      </c>
    </row>
    <row r="474" spans="1:5" ht="15">
      <c r="A474" s="6" t="s">
        <v>8</v>
      </c>
      <c r="B474" s="9">
        <v>16</v>
      </c>
      <c r="C474" s="9"/>
      <c r="D474" s="9"/>
      <c r="E474" s="9"/>
    </row>
    <row r="475" spans="1:5" ht="15">
      <c r="A475" s="6" t="s">
        <v>9</v>
      </c>
      <c r="B475" s="9">
        <v>16</v>
      </c>
      <c r="C475" s="9">
        <v>14</v>
      </c>
      <c r="D475" s="9"/>
      <c r="E475" s="9"/>
    </row>
    <row r="476" spans="1:5" ht="15">
      <c r="A476" s="6" t="s">
        <v>10</v>
      </c>
      <c r="B476" s="9"/>
      <c r="C476" s="9"/>
      <c r="D476" s="9"/>
      <c r="E476" s="9"/>
    </row>
    <row r="477" spans="1:5" ht="15">
      <c r="A477" s="6" t="s">
        <v>11</v>
      </c>
      <c r="B477" s="9"/>
      <c r="C477" s="9"/>
      <c r="D477" s="9"/>
      <c r="E477" s="9"/>
    </row>
    <row r="478" spans="1:5" ht="15">
      <c r="A478" s="6" t="s">
        <v>12</v>
      </c>
      <c r="B478" s="9"/>
      <c r="C478" s="9"/>
      <c r="D478" s="9"/>
      <c r="E478" s="9"/>
    </row>
    <row r="479" spans="1:5" ht="15">
      <c r="A479" s="6" t="s">
        <v>13</v>
      </c>
      <c r="B479" s="9"/>
      <c r="C479" s="9"/>
      <c r="D479" s="9"/>
      <c r="E479" s="9"/>
    </row>
    <row r="480" spans="1:5" ht="15">
      <c r="A480" s="6" t="s">
        <v>14</v>
      </c>
      <c r="B480" s="9"/>
      <c r="C480" s="9"/>
      <c r="D480" s="9"/>
      <c r="E480" s="9"/>
    </row>
    <row r="481" spans="1:5" ht="15">
      <c r="A481" s="10"/>
      <c r="B481" s="6" t="s">
        <v>17</v>
      </c>
      <c r="C481" s="6" t="s">
        <v>18</v>
      </c>
      <c r="D481" s="10"/>
      <c r="E481" s="10"/>
    </row>
    <row r="482" spans="1:5" ht="15">
      <c r="A482" s="6" t="s">
        <v>16</v>
      </c>
      <c r="B482" s="9">
        <v>5</v>
      </c>
      <c r="C482" s="9">
        <v>28</v>
      </c>
      <c r="D482" s="10"/>
      <c r="E482" s="10"/>
    </row>
    <row r="483" spans="1:5" ht="15">
      <c r="A483" s="6" t="s">
        <v>15</v>
      </c>
      <c r="B483" s="9"/>
      <c r="C483" s="9"/>
      <c r="D483" s="10"/>
      <c r="E483" s="10"/>
    </row>
    <row r="486" spans="1:5" ht="15">
      <c r="A486" s="16"/>
      <c r="B486" s="15"/>
      <c r="C486" s="3"/>
      <c r="D486" s="3"/>
      <c r="E486" s="3"/>
    </row>
    <row r="487" spans="1:5" ht="15">
      <c r="A487" s="17"/>
      <c r="B487" s="18"/>
      <c r="C487" s="3"/>
      <c r="D487" s="3"/>
      <c r="E487" s="3"/>
    </row>
    <row r="488" spans="1:5" ht="15">
      <c r="A488" s="3"/>
      <c r="B488" s="15"/>
      <c r="C488" s="15"/>
      <c r="D488" s="15"/>
      <c r="E488" s="15"/>
    </row>
    <row r="489" spans="1:5" ht="15">
      <c r="A489" s="15"/>
      <c r="B489" s="18"/>
      <c r="C489" s="18"/>
      <c r="D489" s="18"/>
      <c r="E489" s="18"/>
    </row>
    <row r="490" spans="1:5" ht="15">
      <c r="A490" s="15"/>
      <c r="B490" s="18"/>
      <c r="C490" s="18"/>
      <c r="D490" s="18"/>
      <c r="E490" s="18"/>
    </row>
    <row r="491" spans="1:5" ht="15">
      <c r="A491" s="15"/>
      <c r="B491" s="18"/>
      <c r="C491" s="18"/>
      <c r="D491" s="18"/>
      <c r="E491" s="18"/>
    </row>
    <row r="492" spans="1:5" ht="15">
      <c r="A492" s="15"/>
      <c r="B492" s="18"/>
      <c r="C492" s="18"/>
      <c r="D492" s="18"/>
      <c r="E492" s="18"/>
    </row>
    <row r="493" spans="1:5" ht="15">
      <c r="A493" s="15"/>
      <c r="B493" s="18"/>
      <c r="C493" s="18"/>
      <c r="D493" s="18"/>
      <c r="E493" s="18"/>
    </row>
    <row r="494" spans="1:5" ht="15">
      <c r="A494" s="15"/>
      <c r="B494" s="18"/>
      <c r="C494" s="18"/>
      <c r="D494" s="18"/>
      <c r="E494" s="18"/>
    </row>
    <row r="495" spans="1:5" ht="15">
      <c r="A495" s="15"/>
      <c r="B495" s="18"/>
      <c r="C495" s="18"/>
      <c r="D495" s="18"/>
      <c r="E495" s="18"/>
    </row>
    <row r="496" spans="1:5" ht="15">
      <c r="A496" s="3"/>
      <c r="B496" s="15"/>
      <c r="C496" s="15"/>
      <c r="D496" s="3"/>
      <c r="E496" s="3"/>
    </row>
    <row r="497" spans="1:5" ht="15">
      <c r="A497" s="15"/>
      <c r="B497" s="18"/>
      <c r="C497" s="18"/>
      <c r="D497" s="3"/>
      <c r="E497" s="3"/>
    </row>
    <row r="498" spans="1:5" ht="15">
      <c r="A498" s="15"/>
      <c r="B498" s="18"/>
      <c r="C498" s="18"/>
      <c r="D498" s="3"/>
      <c r="E498" s="3"/>
    </row>
    <row r="499" spans="1:5" ht="15">
      <c r="A499" s="3"/>
      <c r="B499" s="3"/>
      <c r="C499" s="3"/>
      <c r="D499" s="3"/>
      <c r="E499" s="3"/>
    </row>
    <row r="500" spans="1:5" ht="15">
      <c r="A500" s="3"/>
      <c r="B500" s="3"/>
      <c r="C500" s="3"/>
      <c r="D500" s="3"/>
      <c r="E500" s="3"/>
    </row>
    <row r="501" spans="1:5" ht="15">
      <c r="A501" s="16"/>
      <c r="B501" s="15"/>
      <c r="C501" s="3"/>
      <c r="D501" s="3"/>
      <c r="E501" s="3"/>
    </row>
    <row r="502" spans="1:5" ht="15">
      <c r="A502" s="17"/>
      <c r="B502" s="18"/>
      <c r="C502" s="3"/>
      <c r="D502" s="3"/>
      <c r="E502" s="3"/>
    </row>
    <row r="503" spans="1:5" ht="15">
      <c r="A503" s="3"/>
      <c r="B503" s="15"/>
      <c r="C503" s="15"/>
      <c r="D503" s="15"/>
      <c r="E503" s="15"/>
    </row>
    <row r="504" spans="1:5" ht="15">
      <c r="A504" s="15"/>
      <c r="B504" s="18"/>
      <c r="C504" s="18"/>
      <c r="D504" s="18"/>
      <c r="E504" s="18"/>
    </row>
    <row r="505" spans="1:5" ht="15">
      <c r="A505" s="15"/>
      <c r="B505" s="18"/>
      <c r="C505" s="18"/>
      <c r="D505" s="18"/>
      <c r="E505" s="18"/>
    </row>
    <row r="506" spans="1:5" ht="15">
      <c r="A506" s="15"/>
      <c r="B506" s="18"/>
      <c r="C506" s="18"/>
      <c r="D506" s="18"/>
      <c r="E506" s="18"/>
    </row>
    <row r="507" spans="1:5" ht="15">
      <c r="A507" s="15"/>
      <c r="B507" s="18"/>
      <c r="C507" s="18"/>
      <c r="D507" s="18"/>
      <c r="E507" s="18"/>
    </row>
    <row r="508" spans="1:5" ht="15">
      <c r="A508" s="15"/>
      <c r="B508" s="18"/>
      <c r="C508" s="18"/>
      <c r="D508" s="18"/>
      <c r="E508" s="18"/>
    </row>
    <row r="509" spans="1:5" ht="15">
      <c r="A509" s="15"/>
      <c r="B509" s="18"/>
      <c r="C509" s="18"/>
      <c r="D509" s="18"/>
      <c r="E509" s="18"/>
    </row>
    <row r="510" spans="1:5" ht="15">
      <c r="A510" s="15"/>
      <c r="B510" s="18"/>
      <c r="C510" s="18"/>
      <c r="D510" s="18"/>
      <c r="E510" s="18"/>
    </row>
    <row r="511" spans="1:5" ht="15">
      <c r="A511" s="3"/>
      <c r="B511" s="15"/>
      <c r="C511" s="15"/>
      <c r="D511" s="3"/>
      <c r="E511" s="3"/>
    </row>
    <row r="512" spans="1:5" ht="15">
      <c r="A512" s="15"/>
      <c r="B512" s="18"/>
      <c r="C512" s="18"/>
      <c r="D512" s="3"/>
      <c r="E512" s="3"/>
    </row>
    <row r="513" spans="1:5" ht="15">
      <c r="A513" s="15"/>
      <c r="B513" s="18"/>
      <c r="C513" s="18"/>
      <c r="D513" s="3"/>
      <c r="E513" s="3"/>
    </row>
    <row r="514" spans="1:5" ht="15">
      <c r="A514" s="3"/>
      <c r="B514" s="3"/>
      <c r="C514" s="3"/>
      <c r="D514" s="3"/>
      <c r="E514" s="3"/>
    </row>
    <row r="515" spans="1:5" ht="15">
      <c r="A515" s="3"/>
      <c r="B515" s="3"/>
      <c r="C515" s="3"/>
      <c r="D515" s="3"/>
      <c r="E515" s="3"/>
    </row>
    <row r="516" spans="1:5" ht="15">
      <c r="A516" s="16"/>
      <c r="B516" s="15"/>
      <c r="C516" s="3"/>
      <c r="D516" s="3"/>
      <c r="E516" s="3"/>
    </row>
    <row r="517" spans="1:5" ht="15">
      <c r="A517" s="17"/>
      <c r="B517" s="18"/>
      <c r="C517" s="3"/>
      <c r="D517" s="3"/>
      <c r="E517" s="3"/>
    </row>
    <row r="518" spans="1:5" ht="15">
      <c r="A518" s="3"/>
      <c r="B518" s="15"/>
      <c r="C518" s="15"/>
      <c r="D518" s="15"/>
      <c r="E518" s="15"/>
    </row>
    <row r="519" spans="1:5" ht="15">
      <c r="A519" s="15"/>
      <c r="B519" s="18"/>
      <c r="C519" s="18"/>
      <c r="D519" s="18"/>
      <c r="E519" s="18"/>
    </row>
    <row r="520" spans="1:5" ht="15">
      <c r="A520" s="15"/>
      <c r="B520" s="18"/>
      <c r="C520" s="18"/>
      <c r="D520" s="18"/>
      <c r="E520" s="18"/>
    </row>
    <row r="521" spans="1:5" ht="15">
      <c r="A521" s="15"/>
      <c r="B521" s="18"/>
      <c r="C521" s="18"/>
      <c r="D521" s="18"/>
      <c r="E521" s="18"/>
    </row>
    <row r="522" spans="1:5" ht="15">
      <c r="A522" s="15"/>
      <c r="B522" s="18"/>
      <c r="C522" s="18"/>
      <c r="D522" s="18"/>
      <c r="E522" s="18"/>
    </row>
    <row r="523" spans="1:5" ht="15">
      <c r="A523" s="15"/>
      <c r="B523" s="18"/>
      <c r="C523" s="18"/>
      <c r="D523" s="18"/>
      <c r="E523" s="18"/>
    </row>
    <row r="524" spans="1:5" ht="15">
      <c r="A524" s="15"/>
      <c r="B524" s="18"/>
      <c r="C524" s="18"/>
      <c r="D524" s="18"/>
      <c r="E524" s="18"/>
    </row>
    <row r="525" spans="1:5" ht="15">
      <c r="A525" s="15"/>
      <c r="B525" s="18"/>
      <c r="C525" s="18"/>
      <c r="D525" s="18"/>
      <c r="E525" s="18"/>
    </row>
    <row r="526" spans="1:5" ht="15">
      <c r="A526" s="3"/>
      <c r="B526" s="15"/>
      <c r="C526" s="15"/>
      <c r="D526" s="3"/>
      <c r="E526" s="3"/>
    </row>
    <row r="527" spans="1:5" ht="15">
      <c r="A527" s="15"/>
      <c r="B527" s="18"/>
      <c r="C527" s="18"/>
      <c r="D527" s="3"/>
      <c r="E527" s="3"/>
    </row>
    <row r="528" spans="1:5" ht="15">
      <c r="A528" s="15"/>
      <c r="B528" s="18"/>
      <c r="C528" s="18"/>
      <c r="D528" s="3"/>
      <c r="E528" s="3"/>
    </row>
    <row r="529" spans="1:5" ht="15">
      <c r="A529" s="3"/>
      <c r="B529" s="3"/>
      <c r="C529" s="3"/>
      <c r="D529" s="3"/>
      <c r="E529" s="3"/>
    </row>
  </sheetData>
  <sheetProtection/>
  <printOptions/>
  <pageMargins left="0.7" right="0.7" top="0.75" bottom="0.75" header="0.3" footer="0.3"/>
  <pageSetup horizontalDpi="600" verticalDpi="600" orientation="landscape" paperSize="9" scale="67" r:id="rId1"/>
  <rowBreaks count="10" manualBreakCount="10">
    <brk id="34" max="255" man="1"/>
    <brk id="79" max="255" man="1"/>
    <brk id="124" max="255" man="1"/>
    <brk id="169" max="255" man="1"/>
    <brk id="214" max="255" man="1"/>
    <brk id="259" max="255" man="1"/>
    <brk id="304" max="255" man="1"/>
    <brk id="349" max="255" man="1"/>
    <brk id="394" max="255" man="1"/>
    <brk id="439" max="255" man="1"/>
  </rowBreaks>
  <colBreaks count="2" manualBreakCount="2">
    <brk id="8" max="65535" man="1"/>
    <brk id="13" max="65535" man="1"/>
  </colBreaks>
</worksheet>
</file>

<file path=xl/worksheets/sheet8.xml><?xml version="1.0" encoding="utf-8"?>
<worksheet xmlns="http://schemas.openxmlformats.org/spreadsheetml/2006/main" xmlns:r="http://schemas.openxmlformats.org/officeDocument/2006/relationships">
  <sheetPr>
    <tabColor theme="9"/>
  </sheetPr>
  <dimension ref="A1:X169"/>
  <sheetViews>
    <sheetView view="pageBreakPreview" zoomScale="60" zoomScaleNormal="70" zoomScalePageLayoutView="0" workbookViewId="0" topLeftCell="A1">
      <selection activeCell="F5" sqref="F5"/>
    </sheetView>
  </sheetViews>
  <sheetFormatPr defaultColWidth="9.140625" defaultRowHeight="15"/>
  <cols>
    <col min="1" max="1" width="28.00390625" style="0" customWidth="1"/>
    <col min="2" max="2" width="13.00390625" style="0" customWidth="1"/>
    <col min="3" max="3" width="19.140625" style="0" bestFit="1" customWidth="1"/>
    <col min="4" max="4" width="26.140625" style="0" customWidth="1"/>
    <col min="5" max="5" width="17.57421875" style="0" customWidth="1"/>
    <col min="11" max="11" width="78.57421875" style="0" bestFit="1" customWidth="1"/>
    <col min="12" max="12" width="13.57421875" style="0" customWidth="1"/>
    <col min="14" max="24" width="15.7109375" style="0" customWidth="1"/>
  </cols>
  <sheetData>
    <row r="1" spans="1:4" ht="15.75" thickBot="1">
      <c r="A1" s="6" t="s">
        <v>19</v>
      </c>
      <c r="B1" s="10"/>
      <c r="C1" s="6"/>
      <c r="D1" s="10"/>
    </row>
    <row r="2" spans="1:24" ht="75">
      <c r="A2" s="7" t="s">
        <v>4</v>
      </c>
      <c r="B2" s="10"/>
      <c r="C2" s="7"/>
      <c r="D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0</v>
      </c>
      <c r="C3" s="6"/>
      <c r="D3" s="7"/>
      <c r="N3" s="140" t="s">
        <v>168</v>
      </c>
      <c r="O3" s="107">
        <f aca="true" t="shared" si="0" ref="O3:O9">P3/Q3</f>
        <v>7.5</v>
      </c>
      <c r="P3" s="98">
        <f>B10</f>
        <v>30</v>
      </c>
      <c r="Q3" s="98">
        <f>B8</f>
        <v>4</v>
      </c>
      <c r="R3" s="98">
        <f>B18</f>
        <v>4</v>
      </c>
      <c r="S3" s="98">
        <f>C18</f>
        <v>45</v>
      </c>
      <c r="T3" s="98">
        <v>0</v>
      </c>
      <c r="U3" s="99">
        <f>P3-T3</f>
        <v>30</v>
      </c>
      <c r="V3" s="100">
        <f>R3*S3</f>
        <v>180</v>
      </c>
      <c r="W3" s="134">
        <f>V3/P3</f>
        <v>6</v>
      </c>
      <c r="X3" s="135">
        <f>V3/U3</f>
        <v>6</v>
      </c>
    </row>
    <row r="4" spans="1:24" ht="15">
      <c r="A4" s="12"/>
      <c r="B4" s="2"/>
      <c r="C4" s="12"/>
      <c r="D4" s="2"/>
      <c r="N4" s="141"/>
      <c r="O4" s="108">
        <f t="shared" si="0"/>
        <v>5</v>
      </c>
      <c r="P4" s="94">
        <f>B25</f>
        <v>20</v>
      </c>
      <c r="Q4" s="94">
        <f>B23</f>
        <v>4</v>
      </c>
      <c r="R4" s="94">
        <f>B33</f>
        <v>4</v>
      </c>
      <c r="S4" s="94">
        <f>C33</f>
        <v>38</v>
      </c>
      <c r="T4" s="94">
        <v>0</v>
      </c>
      <c r="U4" s="95">
        <f aca="true" t="shared" si="1" ref="U4:U9">P4-T4</f>
        <v>20</v>
      </c>
      <c r="V4" s="96">
        <f aca="true" t="shared" si="2" ref="V4:V9">R4*S4</f>
        <v>152</v>
      </c>
      <c r="W4" s="136">
        <f aca="true" t="shared" si="3" ref="W4:W9">V4/P4</f>
        <v>7.6</v>
      </c>
      <c r="X4" s="137">
        <f aca="true" t="shared" si="4" ref="X4:X9">V4/U4</f>
        <v>7.6</v>
      </c>
    </row>
    <row r="5" spans="1:24" ht="15">
      <c r="A5" s="12"/>
      <c r="B5" s="2"/>
      <c r="C5" s="12"/>
      <c r="D5" s="2"/>
      <c r="N5" s="141"/>
      <c r="O5" s="108">
        <f t="shared" si="0"/>
        <v>3</v>
      </c>
      <c r="P5" s="94">
        <f>B40</f>
        <v>6</v>
      </c>
      <c r="Q5" s="94">
        <f>B38</f>
        <v>2</v>
      </c>
      <c r="R5" s="94">
        <f>B48</f>
        <v>2</v>
      </c>
      <c r="S5" s="94">
        <f>C48</f>
        <v>30</v>
      </c>
      <c r="T5" s="94">
        <v>0</v>
      </c>
      <c r="U5" s="95">
        <f t="shared" si="1"/>
        <v>6</v>
      </c>
      <c r="V5" s="96">
        <f t="shared" si="2"/>
        <v>60</v>
      </c>
      <c r="W5" s="136">
        <f t="shared" si="3"/>
        <v>10</v>
      </c>
      <c r="X5" s="137">
        <f t="shared" si="4"/>
        <v>10</v>
      </c>
    </row>
    <row r="6" spans="14:24" ht="15">
      <c r="N6" s="141"/>
      <c r="O6" s="108">
        <f t="shared" si="0"/>
        <v>5</v>
      </c>
      <c r="P6" s="94">
        <f>B55</f>
        <v>5</v>
      </c>
      <c r="Q6" s="94">
        <f>B53</f>
        <v>1</v>
      </c>
      <c r="R6" s="94">
        <f>B63</f>
        <v>1</v>
      </c>
      <c r="S6" s="94">
        <f>C63</f>
        <v>36</v>
      </c>
      <c r="T6" s="94">
        <v>0</v>
      </c>
      <c r="U6" s="95">
        <f t="shared" si="1"/>
        <v>5</v>
      </c>
      <c r="V6" s="96">
        <f t="shared" si="2"/>
        <v>36</v>
      </c>
      <c r="W6" s="136">
        <f t="shared" si="3"/>
        <v>7.2</v>
      </c>
      <c r="X6" s="137">
        <f t="shared" si="4"/>
        <v>7.2</v>
      </c>
    </row>
    <row r="7" spans="1:24" ht="15">
      <c r="A7" s="28" t="s">
        <v>7</v>
      </c>
      <c r="B7" s="6" t="s">
        <v>17</v>
      </c>
      <c r="C7" s="10"/>
      <c r="D7" s="10"/>
      <c r="E7" s="10"/>
      <c r="K7" s="20" t="str">
        <f>'Summary Sheet'!C6</f>
        <v>General Communal Area</v>
      </c>
      <c r="L7" s="182">
        <f>B3</f>
        <v>0</v>
      </c>
      <c r="N7" s="141"/>
      <c r="O7" s="108">
        <f t="shared" si="0"/>
        <v>5</v>
      </c>
      <c r="P7" s="94">
        <f>B70</f>
        <v>5</v>
      </c>
      <c r="Q7" s="94">
        <f>B68</f>
        <v>1</v>
      </c>
      <c r="R7" s="94">
        <f>B78</f>
        <v>1</v>
      </c>
      <c r="S7" s="94">
        <f>C78</f>
        <v>47</v>
      </c>
      <c r="T7" s="94">
        <f>B72</f>
        <v>1</v>
      </c>
      <c r="U7" s="95">
        <f t="shared" si="1"/>
        <v>4</v>
      </c>
      <c r="V7" s="96">
        <f t="shared" si="2"/>
        <v>47</v>
      </c>
      <c r="W7" s="136">
        <f t="shared" si="3"/>
        <v>9.4</v>
      </c>
      <c r="X7" s="137">
        <f t="shared" si="4"/>
        <v>11.75</v>
      </c>
    </row>
    <row r="8" spans="1:24" ht="15">
      <c r="A8" s="8" t="s">
        <v>82</v>
      </c>
      <c r="B8" s="9">
        <v>4</v>
      </c>
      <c r="C8" s="10"/>
      <c r="D8" s="10"/>
      <c r="E8" s="10"/>
      <c r="K8" s="20" t="str">
        <f>'Summary Sheet'!C7</f>
        <v>Kitchen / Dining / Living Area (Shared Internal Area)</v>
      </c>
      <c r="L8" s="182">
        <f>(B18*C18)+(B33*C33)+(B48*C48)+(B63*C63)+(B78*C78)+(B93*C93)+(B108*C108)+(B123*C123)+(B138*C138)+(B153*C153)</f>
        <v>755</v>
      </c>
      <c r="N8" s="141"/>
      <c r="O8" s="108">
        <f t="shared" si="0"/>
        <v>7</v>
      </c>
      <c r="P8" s="94">
        <f>B85</f>
        <v>14</v>
      </c>
      <c r="Q8" s="94">
        <f>B83</f>
        <v>2</v>
      </c>
      <c r="R8" s="94">
        <f>B93</f>
        <v>2</v>
      </c>
      <c r="S8" s="94">
        <f>C93</f>
        <v>36</v>
      </c>
      <c r="T8" s="94">
        <v>0</v>
      </c>
      <c r="U8" s="95">
        <f t="shared" si="1"/>
        <v>14</v>
      </c>
      <c r="V8" s="96">
        <f t="shared" si="2"/>
        <v>72</v>
      </c>
      <c r="W8" s="136">
        <f t="shared" si="3"/>
        <v>5.142857142857143</v>
      </c>
      <c r="X8" s="137">
        <f t="shared" si="4"/>
        <v>5.142857142857143</v>
      </c>
    </row>
    <row r="9" spans="1:24" ht="15">
      <c r="A9" s="10"/>
      <c r="B9" s="6" t="s">
        <v>17</v>
      </c>
      <c r="C9" s="6" t="s">
        <v>190</v>
      </c>
      <c r="D9" s="6" t="s">
        <v>191</v>
      </c>
      <c r="E9" s="6" t="s">
        <v>34</v>
      </c>
      <c r="K9" s="20" t="str">
        <f>'Summary Sheet'!C8</f>
        <v>Total Communal Area</v>
      </c>
      <c r="L9" s="185">
        <f>SUM(L7:L8)</f>
        <v>755</v>
      </c>
      <c r="N9" s="141"/>
      <c r="O9" s="108">
        <f t="shared" si="0"/>
        <v>4</v>
      </c>
      <c r="P9" s="94">
        <f>B100</f>
        <v>4</v>
      </c>
      <c r="Q9" s="94">
        <f>B98</f>
        <v>1</v>
      </c>
      <c r="R9" s="94">
        <f>B108</f>
        <v>1</v>
      </c>
      <c r="S9" s="94">
        <f>C108</f>
        <v>38</v>
      </c>
      <c r="T9" s="94">
        <v>0</v>
      </c>
      <c r="U9" s="95">
        <f t="shared" si="1"/>
        <v>4</v>
      </c>
      <c r="V9" s="96">
        <f t="shared" si="2"/>
        <v>38</v>
      </c>
      <c r="W9" s="136">
        <f t="shared" si="3"/>
        <v>9.5</v>
      </c>
      <c r="X9" s="137">
        <f t="shared" si="4"/>
        <v>9.5</v>
      </c>
    </row>
    <row r="10" spans="1:24" ht="15">
      <c r="A10" s="6" t="s">
        <v>8</v>
      </c>
      <c r="B10" s="9">
        <v>30</v>
      </c>
      <c r="C10" s="9"/>
      <c r="D10" s="9"/>
      <c r="E10" s="9"/>
      <c r="K10" s="20"/>
      <c r="L10" s="182"/>
      <c r="N10" s="141"/>
      <c r="O10" s="108">
        <f>P10/Q10</f>
        <v>6</v>
      </c>
      <c r="P10" s="94">
        <f>B115</f>
        <v>6</v>
      </c>
      <c r="Q10" s="94">
        <f>B113</f>
        <v>1</v>
      </c>
      <c r="R10" s="94">
        <f>B123</f>
        <v>1</v>
      </c>
      <c r="S10" s="94">
        <f>C123</f>
        <v>32</v>
      </c>
      <c r="T10" s="94">
        <v>0</v>
      </c>
      <c r="U10" s="95">
        <f>P10-T10</f>
        <v>6</v>
      </c>
      <c r="V10" s="96">
        <f>R10*S10</f>
        <v>32</v>
      </c>
      <c r="W10" s="136">
        <f>V10/P10</f>
        <v>5.333333333333333</v>
      </c>
      <c r="X10" s="137">
        <f>V10/U10</f>
        <v>5.333333333333333</v>
      </c>
    </row>
    <row r="11" spans="1:24" ht="15">
      <c r="A11" s="6" t="s">
        <v>9</v>
      </c>
      <c r="B11" s="9">
        <v>24</v>
      </c>
      <c r="C11" s="9">
        <v>14</v>
      </c>
      <c r="D11" s="9"/>
      <c r="E11" s="9"/>
      <c r="K11" s="20"/>
      <c r="L11" s="182"/>
      <c r="N11" s="141"/>
      <c r="O11" s="108">
        <f>P11/Q11</f>
        <v>8</v>
      </c>
      <c r="P11" s="94">
        <f>B130</f>
        <v>16</v>
      </c>
      <c r="Q11" s="94">
        <f>B128</f>
        <v>2</v>
      </c>
      <c r="R11" s="94">
        <f>B138</f>
        <v>2</v>
      </c>
      <c r="S11" s="94">
        <f>C138</f>
        <v>50</v>
      </c>
      <c r="T11" s="94">
        <v>0</v>
      </c>
      <c r="U11" s="96">
        <f>P11-T11</f>
        <v>16</v>
      </c>
      <c r="V11" s="96">
        <f>R11*S11</f>
        <v>100</v>
      </c>
      <c r="W11" s="136">
        <f>V11/P11</f>
        <v>6.25</v>
      </c>
      <c r="X11" s="137">
        <f>V11/U11</f>
        <v>6.25</v>
      </c>
    </row>
    <row r="12" spans="1:24" ht="15">
      <c r="A12" s="6" t="s">
        <v>10</v>
      </c>
      <c r="B12" s="9">
        <v>6</v>
      </c>
      <c r="C12" s="9">
        <v>18</v>
      </c>
      <c r="D12" s="9"/>
      <c r="E12" s="9"/>
      <c r="K12" s="20" t="str">
        <f>'Summary Sheet'!C10</f>
        <v>Number of Bedrooms (cluster &amp; studio) (non Accessible)</v>
      </c>
      <c r="L12" s="6">
        <f>B11+B12+B26+B41+B56+B71+B86+B87+B101+B116+B117+B131+B146+B147</f>
        <v>112</v>
      </c>
      <c r="N12" s="141"/>
      <c r="O12" s="108">
        <f>P12/Q12</f>
        <v>7</v>
      </c>
      <c r="P12" s="94">
        <f>B145</f>
        <v>7</v>
      </c>
      <c r="Q12" s="94">
        <f>B143</f>
        <v>1</v>
      </c>
      <c r="R12" s="94">
        <f>B153</f>
        <v>1</v>
      </c>
      <c r="S12" s="94">
        <f>C153</f>
        <v>38</v>
      </c>
      <c r="T12" s="94">
        <v>0</v>
      </c>
      <c r="U12" s="95">
        <f>P12-T12</f>
        <v>7</v>
      </c>
      <c r="V12" s="96">
        <f>R12*S12</f>
        <v>38</v>
      </c>
      <c r="W12" s="136">
        <f>V12/P12</f>
        <v>5.428571428571429</v>
      </c>
      <c r="X12" s="137">
        <f>V12/U12</f>
        <v>5.428571428571429</v>
      </c>
    </row>
    <row r="13" spans="1:24" ht="15">
      <c r="A13" s="6" t="s">
        <v>11</v>
      </c>
      <c r="B13" s="9"/>
      <c r="C13" s="9"/>
      <c r="D13" s="9"/>
      <c r="E13" s="9"/>
      <c r="K13" s="20" t="str">
        <f>'Summary Sheet'!C11</f>
        <v>Total Area of Bedrooms (cluster &amp; studio) (non Accessible)</v>
      </c>
      <c r="L13" s="182">
        <f>(B11*C11)+(B12*C12)+(B26*C26)+(B41*C41)+(B56*C56)+(B71*C71)+(B86*C86)+(B87*C87)+(B101*C101)+(B116*C116)+(B117*C117)+(B131*C131)+(B146*C146)+(B147*C147)</f>
        <v>1608</v>
      </c>
      <c r="N13" s="141"/>
      <c r="O13" s="108"/>
      <c r="P13" s="94"/>
      <c r="Q13" s="94"/>
      <c r="R13" s="94"/>
      <c r="S13" s="94"/>
      <c r="T13" s="94"/>
      <c r="U13" s="95"/>
      <c r="V13" s="96"/>
      <c r="W13" s="136"/>
      <c r="X13" s="137"/>
    </row>
    <row r="14" spans="1:24" ht="15">
      <c r="A14" s="6" t="s">
        <v>12</v>
      </c>
      <c r="B14" s="9"/>
      <c r="C14" s="9"/>
      <c r="D14" s="9"/>
      <c r="E14" s="9"/>
      <c r="K14" s="20" t="str">
        <f>'Summary Sheet'!C12</f>
        <v>Average size of Bedroom (cluster &amp; studio) (non Accessible)</v>
      </c>
      <c r="L14" s="185">
        <f>L13/L12</f>
        <v>14.357142857142858</v>
      </c>
      <c r="N14" s="141"/>
      <c r="O14" s="108"/>
      <c r="P14" s="94"/>
      <c r="Q14" s="94"/>
      <c r="R14" s="94"/>
      <c r="S14" s="94"/>
      <c r="T14" s="94"/>
      <c r="U14" s="95"/>
      <c r="V14" s="96"/>
      <c r="W14" s="136"/>
      <c r="X14" s="137"/>
    </row>
    <row r="15" spans="1:24" ht="15">
      <c r="A15" s="6" t="s">
        <v>13</v>
      </c>
      <c r="B15" s="9"/>
      <c r="C15" s="9"/>
      <c r="D15" s="9"/>
      <c r="E15" s="9"/>
      <c r="K15" s="20"/>
      <c r="L15" s="185"/>
      <c r="N15" s="141"/>
      <c r="O15" s="108"/>
      <c r="P15" s="94"/>
      <c r="Q15" s="94"/>
      <c r="R15" s="94"/>
      <c r="S15" s="94"/>
      <c r="T15" s="94"/>
      <c r="U15" s="95"/>
      <c r="V15" s="96"/>
      <c r="W15" s="136"/>
      <c r="X15" s="137"/>
    </row>
    <row r="16" spans="1:24" ht="15">
      <c r="A16" s="6" t="s">
        <v>14</v>
      </c>
      <c r="B16" s="9"/>
      <c r="C16" s="9"/>
      <c r="D16" s="9"/>
      <c r="E16" s="9"/>
      <c r="K16" s="20" t="str">
        <f>'Summary Sheet'!C14</f>
        <v>Number of Cluster Bedrooms (non Accessible)</v>
      </c>
      <c r="L16" s="186">
        <f>L12</f>
        <v>112</v>
      </c>
      <c r="N16" s="141"/>
      <c r="O16" s="108"/>
      <c r="P16" s="94"/>
      <c r="Q16" s="94"/>
      <c r="R16" s="94"/>
      <c r="S16" s="94"/>
      <c r="T16" s="94"/>
      <c r="U16" s="95"/>
      <c r="V16" s="96"/>
      <c r="W16" s="136"/>
      <c r="X16" s="137"/>
    </row>
    <row r="17" spans="1:24" ht="15">
      <c r="A17" s="10"/>
      <c r="B17" s="6" t="s">
        <v>17</v>
      </c>
      <c r="C17" s="6" t="s">
        <v>18</v>
      </c>
      <c r="D17" s="10"/>
      <c r="E17" s="10"/>
      <c r="K17" s="20" t="str">
        <f>'Summary Sheet'!C15</f>
        <v>Total Area of Cluster Bedrooms (non Accessible)</v>
      </c>
      <c r="L17" s="6">
        <f>L13</f>
        <v>1608</v>
      </c>
      <c r="N17" s="141"/>
      <c r="O17" s="108"/>
      <c r="P17" s="94"/>
      <c r="Q17" s="94"/>
      <c r="R17" s="94"/>
      <c r="S17" s="94"/>
      <c r="T17" s="94"/>
      <c r="U17" s="95"/>
      <c r="V17" s="96"/>
      <c r="W17" s="136"/>
      <c r="X17" s="137"/>
    </row>
    <row r="18" spans="1:24" ht="15">
      <c r="A18" s="6" t="s">
        <v>16</v>
      </c>
      <c r="B18" s="9">
        <v>4</v>
      </c>
      <c r="C18" s="9">
        <v>45</v>
      </c>
      <c r="D18" s="10"/>
      <c r="E18" s="10"/>
      <c r="K18" s="20" t="str">
        <f>'Summary Sheet'!C16</f>
        <v>Average Size of Cluster Bedroom (non Accessible)</v>
      </c>
      <c r="L18" s="187">
        <f>L14</f>
        <v>14.357142857142858</v>
      </c>
      <c r="N18" s="141"/>
      <c r="O18" s="108"/>
      <c r="P18" s="94"/>
      <c r="Q18" s="94"/>
      <c r="R18" s="94"/>
      <c r="S18" s="94"/>
      <c r="T18" s="94"/>
      <c r="U18" s="95"/>
      <c r="V18" s="96"/>
      <c r="W18" s="136"/>
      <c r="X18" s="137"/>
    </row>
    <row r="19" spans="1:24" ht="15">
      <c r="A19" s="6" t="s">
        <v>15</v>
      </c>
      <c r="B19" s="9"/>
      <c r="C19" s="9"/>
      <c r="D19" s="10"/>
      <c r="E19" s="10"/>
      <c r="K19" s="20"/>
      <c r="L19" s="188"/>
      <c r="N19" s="141"/>
      <c r="O19" s="108"/>
      <c r="P19" s="94"/>
      <c r="Q19" s="94"/>
      <c r="R19" s="94"/>
      <c r="S19" s="94"/>
      <c r="T19" s="94"/>
      <c r="U19" s="95"/>
      <c r="V19" s="96"/>
      <c r="W19" s="136"/>
      <c r="X19" s="137"/>
    </row>
    <row r="20" spans="11:24" ht="15">
      <c r="K20" s="20" t="str">
        <f>'Summary Sheet'!C18</f>
        <v>Number of Studio Bedspaces (non Accessible)</v>
      </c>
      <c r="L20" s="186">
        <v>0</v>
      </c>
      <c r="N20" s="141"/>
      <c r="O20" s="108"/>
      <c r="P20" s="94"/>
      <c r="Q20" s="94"/>
      <c r="R20" s="94"/>
      <c r="S20" s="94"/>
      <c r="T20" s="94"/>
      <c r="U20" s="95"/>
      <c r="V20" s="96"/>
      <c r="W20" s="136"/>
      <c r="X20" s="137"/>
    </row>
    <row r="21" spans="11:24" ht="15">
      <c r="K21" s="20" t="str">
        <f>'Summary Sheet'!C19</f>
        <v>Total Area of Studio Bedspace (non Accessible)</v>
      </c>
      <c r="L21" s="186">
        <v>0</v>
      </c>
      <c r="N21" s="141"/>
      <c r="O21" s="108"/>
      <c r="P21" s="94"/>
      <c r="Q21" s="94"/>
      <c r="R21" s="94"/>
      <c r="S21" s="94"/>
      <c r="T21" s="94"/>
      <c r="U21" s="95"/>
      <c r="V21" s="96"/>
      <c r="W21" s="136"/>
      <c r="X21" s="137"/>
    </row>
    <row r="22" spans="1:24" ht="15">
      <c r="A22" s="28" t="s">
        <v>7</v>
      </c>
      <c r="B22" s="6" t="s">
        <v>17</v>
      </c>
      <c r="C22" s="10"/>
      <c r="D22" s="10"/>
      <c r="E22" s="10"/>
      <c r="K22" s="20" t="str">
        <f>'Summary Sheet'!C20</f>
        <v>Average Size of Studio Bedspaces (non Accessible)</v>
      </c>
      <c r="L22" s="189">
        <v>0</v>
      </c>
      <c r="N22" s="141"/>
      <c r="O22" s="108"/>
      <c r="P22" s="94"/>
      <c r="Q22" s="94"/>
      <c r="R22" s="94"/>
      <c r="S22" s="94"/>
      <c r="T22" s="94"/>
      <c r="U22" s="95"/>
      <c r="V22" s="96"/>
      <c r="W22" s="136"/>
      <c r="X22" s="137"/>
    </row>
    <row r="23" spans="1:24" ht="15">
      <c r="A23" s="8" t="s">
        <v>83</v>
      </c>
      <c r="B23" s="9">
        <v>4</v>
      </c>
      <c r="C23" s="10"/>
      <c r="D23" s="10"/>
      <c r="E23" s="10"/>
      <c r="K23" s="20"/>
      <c r="L23" s="182"/>
      <c r="N23" s="141"/>
      <c r="O23" s="108"/>
      <c r="P23" s="94"/>
      <c r="Q23" s="94"/>
      <c r="R23" s="94"/>
      <c r="S23" s="94"/>
      <c r="T23" s="94"/>
      <c r="U23" s="95"/>
      <c r="V23" s="96"/>
      <c r="W23" s="136"/>
      <c r="X23" s="137"/>
    </row>
    <row r="24" spans="1:24" ht="15">
      <c r="A24" s="10"/>
      <c r="B24" s="6" t="s">
        <v>17</v>
      </c>
      <c r="C24" s="6" t="s">
        <v>190</v>
      </c>
      <c r="D24" s="6" t="s">
        <v>191</v>
      </c>
      <c r="E24" s="6" t="s">
        <v>34</v>
      </c>
      <c r="K24" s="6" t="str">
        <f>'Summary Sheet'!C24</f>
        <v>Total Number of Bedrooms Inc Accessible</v>
      </c>
      <c r="L24" s="6">
        <f>L12+B72</f>
        <v>113</v>
      </c>
      <c r="N24" s="141"/>
      <c r="O24" s="108"/>
      <c r="P24" s="94"/>
      <c r="Q24" s="94"/>
      <c r="R24" s="94"/>
      <c r="S24" s="94"/>
      <c r="T24" s="94"/>
      <c r="U24" s="95"/>
      <c r="V24" s="96"/>
      <c r="W24" s="136"/>
      <c r="X24" s="137"/>
    </row>
    <row r="25" spans="1:24" ht="15">
      <c r="A25" s="6" t="s">
        <v>8</v>
      </c>
      <c r="B25" s="9">
        <v>20</v>
      </c>
      <c r="C25" s="9"/>
      <c r="D25" s="9"/>
      <c r="E25" s="9"/>
      <c r="K25" s="6" t="str">
        <f>'Summary Sheet'!C26</f>
        <v>Number of Accessible Bedrooms</v>
      </c>
      <c r="L25" s="6">
        <f>L24-L12</f>
        <v>1</v>
      </c>
      <c r="N25" s="141"/>
      <c r="O25" s="108"/>
      <c r="P25" s="94"/>
      <c r="Q25" s="94"/>
      <c r="R25" s="94"/>
      <c r="S25" s="94"/>
      <c r="T25" s="94"/>
      <c r="U25" s="95"/>
      <c r="V25" s="96"/>
      <c r="W25" s="136"/>
      <c r="X25" s="137"/>
    </row>
    <row r="26" spans="1:24" ht="15">
      <c r="A26" s="6" t="s">
        <v>9</v>
      </c>
      <c r="B26" s="9">
        <v>20</v>
      </c>
      <c r="C26" s="9">
        <v>14</v>
      </c>
      <c r="D26" s="9"/>
      <c r="E26" s="9"/>
      <c r="K26" s="198" t="str">
        <f>'Summary Sheet'!C27</f>
        <v>Average Size of Accessible Bedroom</v>
      </c>
      <c r="L26" s="199">
        <f>((B72*C72))*L25</f>
        <v>18</v>
      </c>
      <c r="N26" s="141"/>
      <c r="O26" s="108"/>
      <c r="P26" s="94"/>
      <c r="Q26" s="94"/>
      <c r="R26" s="94"/>
      <c r="S26" s="94"/>
      <c r="T26" s="94"/>
      <c r="U26" s="95"/>
      <c r="V26" s="96"/>
      <c r="W26" s="136"/>
      <c r="X26" s="137"/>
    </row>
    <row r="27" spans="1:24" ht="15">
      <c r="A27" s="6" t="s">
        <v>10</v>
      </c>
      <c r="B27" s="9"/>
      <c r="C27" s="9"/>
      <c r="D27" s="9"/>
      <c r="E27" s="9"/>
      <c r="N27" s="141"/>
      <c r="O27" s="108"/>
      <c r="P27" s="94"/>
      <c r="Q27" s="94"/>
      <c r="R27" s="94"/>
      <c r="S27" s="94"/>
      <c r="T27" s="94"/>
      <c r="U27" s="95"/>
      <c r="V27" s="96"/>
      <c r="W27" s="136"/>
      <c r="X27" s="137"/>
    </row>
    <row r="28" spans="1:24" ht="15">
      <c r="A28" s="6" t="s">
        <v>11</v>
      </c>
      <c r="B28" s="9"/>
      <c r="C28" s="9"/>
      <c r="D28" s="9"/>
      <c r="E28" s="9"/>
      <c r="N28" s="141"/>
      <c r="O28" s="108"/>
      <c r="P28" s="94"/>
      <c r="Q28" s="94"/>
      <c r="R28" s="94"/>
      <c r="S28" s="94"/>
      <c r="T28" s="94"/>
      <c r="U28" s="95"/>
      <c r="V28" s="96"/>
      <c r="W28" s="136"/>
      <c r="X28" s="137"/>
    </row>
    <row r="29" spans="1:24" ht="15">
      <c r="A29" s="6" t="s">
        <v>12</v>
      </c>
      <c r="B29" s="9"/>
      <c r="C29" s="9"/>
      <c r="D29" s="9"/>
      <c r="E29" s="9"/>
      <c r="N29" s="141"/>
      <c r="O29" s="108"/>
      <c r="P29" s="94"/>
      <c r="Q29" s="94"/>
      <c r="R29" s="94"/>
      <c r="S29" s="94"/>
      <c r="T29" s="94"/>
      <c r="U29" s="95"/>
      <c r="V29" s="96"/>
      <c r="W29" s="136"/>
      <c r="X29" s="137"/>
    </row>
    <row r="30" spans="1:24" ht="15">
      <c r="A30" s="6" t="s">
        <v>13</v>
      </c>
      <c r="B30" s="9"/>
      <c r="C30" s="9"/>
      <c r="D30" s="9"/>
      <c r="E30" s="9"/>
      <c r="N30" s="141"/>
      <c r="O30" s="108"/>
      <c r="P30" s="94"/>
      <c r="Q30" s="94"/>
      <c r="R30" s="94"/>
      <c r="S30" s="94"/>
      <c r="T30" s="94"/>
      <c r="U30" s="95"/>
      <c r="V30" s="96"/>
      <c r="W30" s="136"/>
      <c r="X30" s="137"/>
    </row>
    <row r="31" spans="1:24" ht="15">
      <c r="A31" s="6" t="s">
        <v>14</v>
      </c>
      <c r="B31" s="9"/>
      <c r="C31" s="9"/>
      <c r="D31" s="9"/>
      <c r="E31" s="9"/>
      <c r="N31" s="141"/>
      <c r="O31" s="108"/>
      <c r="P31" s="94"/>
      <c r="Q31" s="94"/>
      <c r="R31" s="94"/>
      <c r="S31" s="94"/>
      <c r="T31" s="94"/>
      <c r="U31" s="95"/>
      <c r="V31" s="96"/>
      <c r="W31" s="136"/>
      <c r="X31" s="137"/>
    </row>
    <row r="32" spans="1:24" ht="15">
      <c r="A32" s="10"/>
      <c r="B32" s="6" t="s">
        <v>17</v>
      </c>
      <c r="C32" s="6" t="s">
        <v>18</v>
      </c>
      <c r="D32" s="10"/>
      <c r="E32" s="10"/>
      <c r="N32" s="141"/>
      <c r="O32" s="108"/>
      <c r="P32" s="94"/>
      <c r="Q32" s="94"/>
      <c r="R32" s="94"/>
      <c r="S32" s="94"/>
      <c r="T32" s="94"/>
      <c r="U32" s="95"/>
      <c r="V32" s="96"/>
      <c r="W32" s="136"/>
      <c r="X32" s="137"/>
    </row>
    <row r="33" spans="1:24" ht="15">
      <c r="A33" s="6" t="s">
        <v>16</v>
      </c>
      <c r="B33" s="9">
        <v>4</v>
      </c>
      <c r="C33" s="9">
        <v>38</v>
      </c>
      <c r="D33" s="10"/>
      <c r="E33" s="10"/>
      <c r="N33" s="141"/>
      <c r="O33" s="108"/>
      <c r="P33" s="94"/>
      <c r="Q33" s="94"/>
      <c r="R33" s="94"/>
      <c r="S33" s="94"/>
      <c r="T33" s="94"/>
      <c r="U33" s="95"/>
      <c r="V33" s="96"/>
      <c r="W33" s="136"/>
      <c r="X33" s="137"/>
    </row>
    <row r="34" spans="1:24" ht="15">
      <c r="A34" s="6" t="s">
        <v>15</v>
      </c>
      <c r="B34" s="9"/>
      <c r="C34" s="9"/>
      <c r="D34" s="10"/>
      <c r="E34" s="10"/>
      <c r="N34" s="141"/>
      <c r="O34" s="108"/>
      <c r="P34" s="94"/>
      <c r="Q34" s="94"/>
      <c r="R34" s="94"/>
      <c r="S34" s="94"/>
      <c r="T34" s="94"/>
      <c r="U34" s="95"/>
      <c r="V34" s="96"/>
      <c r="W34" s="136"/>
      <c r="X34" s="137"/>
    </row>
    <row r="35" spans="14:24" ht="15.75" thickBot="1">
      <c r="N35" s="144"/>
      <c r="O35" s="125"/>
      <c r="P35" s="97"/>
      <c r="Q35" s="97"/>
      <c r="R35" s="97"/>
      <c r="S35" s="97"/>
      <c r="T35" s="97"/>
      <c r="U35" s="116"/>
      <c r="V35" s="117"/>
      <c r="W35" s="138"/>
      <c r="X35" s="139"/>
    </row>
    <row r="36" ht="15.75" thickBot="1"/>
    <row r="37" spans="1:24" ht="15">
      <c r="A37" s="28" t="s">
        <v>7</v>
      </c>
      <c r="B37" s="6" t="s">
        <v>17</v>
      </c>
      <c r="C37" s="10"/>
      <c r="D37" s="10"/>
      <c r="E37" s="10"/>
      <c r="N37" s="131">
        <f>'Summary Sheet'!D34</f>
        <v>3</v>
      </c>
      <c r="O37" s="153"/>
      <c r="P37" s="145">
        <f>SUMIF($O$3:$O$35,$N37,P$3:P$35)</f>
        <v>6</v>
      </c>
      <c r="Q37" s="145">
        <f>SUMIF($O$3:$O$35,$N37,Q$3:Q$35)</f>
        <v>2</v>
      </c>
      <c r="R37" s="145">
        <f aca="true" t="shared" si="5" ref="R37:V44">SUMIF($O$3:$O$35,$N37,R$3:R$35)</f>
        <v>2</v>
      </c>
      <c r="S37" s="145">
        <f t="shared" si="5"/>
        <v>30</v>
      </c>
      <c r="T37" s="145">
        <f t="shared" si="5"/>
        <v>0</v>
      </c>
      <c r="U37" s="145">
        <f t="shared" si="5"/>
        <v>6</v>
      </c>
      <c r="V37" s="146">
        <f t="shared" si="5"/>
        <v>60</v>
      </c>
      <c r="W37" s="147">
        <f>_xlfn.IFERROR(V37/P37,"")</f>
        <v>10</v>
      </c>
      <c r="X37" s="148">
        <f>_xlfn.IFERROR(V37/U37,"")</f>
        <v>10</v>
      </c>
    </row>
    <row r="38" spans="1:24" ht="15">
      <c r="A38" s="8" t="s">
        <v>84</v>
      </c>
      <c r="B38" s="9">
        <v>2</v>
      </c>
      <c r="C38" s="10"/>
      <c r="D38" s="10"/>
      <c r="E38" s="10"/>
      <c r="N38" s="132">
        <f>'Summary Sheet'!D35</f>
        <v>4</v>
      </c>
      <c r="O38" s="154"/>
      <c r="P38" s="96">
        <f>SUMIF($O$3:O36,N38,$P$3:$P$35)</f>
        <v>4</v>
      </c>
      <c r="Q38" s="96">
        <f aca="true" t="shared" si="6" ref="Q38:Q44">SUMIF($O$3:$O$35,$N38,Q$3:Q$35)</f>
        <v>1</v>
      </c>
      <c r="R38" s="96">
        <f t="shared" si="5"/>
        <v>1</v>
      </c>
      <c r="S38" s="96">
        <f t="shared" si="5"/>
        <v>38</v>
      </c>
      <c r="T38" s="96">
        <f t="shared" si="5"/>
        <v>0</v>
      </c>
      <c r="U38" s="96">
        <f t="shared" si="5"/>
        <v>4</v>
      </c>
      <c r="V38" s="149">
        <f t="shared" si="5"/>
        <v>38</v>
      </c>
      <c r="W38" s="150">
        <f aca="true" t="shared" si="7" ref="W38:W44">_xlfn.IFERROR(V38/P38,"")</f>
        <v>9.5</v>
      </c>
      <c r="X38" s="137">
        <f aca="true" t="shared" si="8" ref="X38:X44">_xlfn.IFERROR(V38/U38,"")</f>
        <v>9.5</v>
      </c>
    </row>
    <row r="39" spans="1:24" ht="15">
      <c r="A39" s="10"/>
      <c r="B39" s="6" t="s">
        <v>17</v>
      </c>
      <c r="C39" s="6" t="s">
        <v>190</v>
      </c>
      <c r="D39" s="6" t="s">
        <v>191</v>
      </c>
      <c r="E39" s="6" t="s">
        <v>34</v>
      </c>
      <c r="N39" s="132">
        <f>'Summary Sheet'!D36</f>
        <v>5</v>
      </c>
      <c r="O39" s="154"/>
      <c r="P39" s="96">
        <f>SUMIF($O$3:O37,N39,$P$3:$P$35)</f>
        <v>30</v>
      </c>
      <c r="Q39" s="96">
        <f t="shared" si="6"/>
        <v>6</v>
      </c>
      <c r="R39" s="96">
        <f t="shared" si="5"/>
        <v>6</v>
      </c>
      <c r="S39" s="96">
        <f t="shared" si="5"/>
        <v>121</v>
      </c>
      <c r="T39" s="96">
        <f t="shared" si="5"/>
        <v>1</v>
      </c>
      <c r="U39" s="96">
        <f t="shared" si="5"/>
        <v>29</v>
      </c>
      <c r="V39" s="149">
        <f t="shared" si="5"/>
        <v>235</v>
      </c>
      <c r="W39" s="150">
        <f t="shared" si="7"/>
        <v>7.833333333333333</v>
      </c>
      <c r="X39" s="137">
        <f t="shared" si="8"/>
        <v>8.10344827586207</v>
      </c>
    </row>
    <row r="40" spans="1:24" ht="15">
      <c r="A40" s="6" t="s">
        <v>8</v>
      </c>
      <c r="B40" s="9">
        <v>6</v>
      </c>
      <c r="C40" s="9"/>
      <c r="D40" s="9"/>
      <c r="E40" s="9"/>
      <c r="N40" s="132">
        <f>'Summary Sheet'!D37</f>
        <v>6</v>
      </c>
      <c r="O40" s="154"/>
      <c r="P40" s="96">
        <f>SUMIF($O$3:O38,N40,$P$3:$P$35)</f>
        <v>6</v>
      </c>
      <c r="Q40" s="96">
        <f t="shared" si="6"/>
        <v>1</v>
      </c>
      <c r="R40" s="96">
        <f t="shared" si="5"/>
        <v>1</v>
      </c>
      <c r="S40" s="96">
        <f t="shared" si="5"/>
        <v>32</v>
      </c>
      <c r="T40" s="96">
        <f t="shared" si="5"/>
        <v>0</v>
      </c>
      <c r="U40" s="96">
        <f t="shared" si="5"/>
        <v>6</v>
      </c>
      <c r="V40" s="149">
        <f t="shared" si="5"/>
        <v>32</v>
      </c>
      <c r="W40" s="150">
        <f t="shared" si="7"/>
        <v>5.333333333333333</v>
      </c>
      <c r="X40" s="137">
        <f t="shared" si="8"/>
        <v>5.333333333333333</v>
      </c>
    </row>
    <row r="41" spans="1:24" ht="15">
      <c r="A41" s="6" t="s">
        <v>9</v>
      </c>
      <c r="B41" s="9">
        <v>6</v>
      </c>
      <c r="C41" s="9">
        <v>14</v>
      </c>
      <c r="D41" s="9"/>
      <c r="E41" s="9"/>
      <c r="N41" s="132">
        <f>'Summary Sheet'!D38</f>
        <v>7</v>
      </c>
      <c r="O41" s="154"/>
      <c r="P41" s="96">
        <f>SUMIF($O$3:O39,N41,$P$3:$P$35)</f>
        <v>21</v>
      </c>
      <c r="Q41" s="96">
        <f t="shared" si="6"/>
        <v>3</v>
      </c>
      <c r="R41" s="96">
        <f t="shared" si="5"/>
        <v>3</v>
      </c>
      <c r="S41" s="96">
        <f t="shared" si="5"/>
        <v>74</v>
      </c>
      <c r="T41" s="96">
        <f t="shared" si="5"/>
        <v>0</v>
      </c>
      <c r="U41" s="96">
        <f t="shared" si="5"/>
        <v>21</v>
      </c>
      <c r="V41" s="149">
        <f t="shared" si="5"/>
        <v>110</v>
      </c>
      <c r="W41" s="150">
        <f t="shared" si="7"/>
        <v>5.238095238095238</v>
      </c>
      <c r="X41" s="137">
        <f t="shared" si="8"/>
        <v>5.238095238095238</v>
      </c>
    </row>
    <row r="42" spans="1:24" ht="15">
      <c r="A42" s="6" t="s">
        <v>10</v>
      </c>
      <c r="B42" s="9"/>
      <c r="C42" s="9"/>
      <c r="D42" s="9"/>
      <c r="E42" s="9"/>
      <c r="N42" s="132">
        <f>'Summary Sheet'!D39</f>
        <v>8</v>
      </c>
      <c r="O42" s="154"/>
      <c r="P42" s="96">
        <f>SUMIF($O$3:O40,N42,$P$3:$P$35)</f>
        <v>16</v>
      </c>
      <c r="Q42" s="96">
        <f t="shared" si="6"/>
        <v>2</v>
      </c>
      <c r="R42" s="96">
        <f t="shared" si="5"/>
        <v>2</v>
      </c>
      <c r="S42" s="96">
        <f t="shared" si="5"/>
        <v>50</v>
      </c>
      <c r="T42" s="96">
        <f t="shared" si="5"/>
        <v>0</v>
      </c>
      <c r="U42" s="96">
        <f t="shared" si="5"/>
        <v>16</v>
      </c>
      <c r="V42" s="149">
        <f t="shared" si="5"/>
        <v>100</v>
      </c>
      <c r="W42" s="150">
        <f t="shared" si="7"/>
        <v>6.25</v>
      </c>
      <c r="X42" s="137">
        <f t="shared" si="8"/>
        <v>6.25</v>
      </c>
    </row>
    <row r="43" spans="1:24" ht="15">
      <c r="A43" s="6" t="s">
        <v>11</v>
      </c>
      <c r="B43" s="9"/>
      <c r="C43" s="9"/>
      <c r="D43" s="9"/>
      <c r="E43" s="9"/>
      <c r="N43" s="132">
        <f>'Summary Sheet'!D40</f>
        <v>9</v>
      </c>
      <c r="O43" s="154"/>
      <c r="P43" s="96">
        <f>SUMIF($O$3:O41,N43,$P$3:$P$35)</f>
        <v>0</v>
      </c>
      <c r="Q43" s="96">
        <f t="shared" si="6"/>
        <v>0</v>
      </c>
      <c r="R43" s="96">
        <f t="shared" si="5"/>
        <v>0</v>
      </c>
      <c r="S43" s="96">
        <f t="shared" si="5"/>
        <v>0</v>
      </c>
      <c r="T43" s="96">
        <f t="shared" si="5"/>
        <v>0</v>
      </c>
      <c r="U43" s="96">
        <f t="shared" si="5"/>
        <v>0</v>
      </c>
      <c r="V43" s="149">
        <f t="shared" si="5"/>
        <v>0</v>
      </c>
      <c r="W43" s="150">
        <f t="shared" si="7"/>
      </c>
      <c r="X43" s="137">
        <f t="shared" si="8"/>
      </c>
    </row>
    <row r="44" spans="1:24" ht="15.75" thickBot="1">
      <c r="A44" s="6" t="s">
        <v>12</v>
      </c>
      <c r="B44" s="9"/>
      <c r="C44" s="9"/>
      <c r="D44" s="9"/>
      <c r="E44" s="9"/>
      <c r="N44" s="133">
        <f>'Summary Sheet'!D41</f>
        <v>10</v>
      </c>
      <c r="O44" s="155"/>
      <c r="P44" s="117">
        <f>SUMIF($O$3:O42,N44,$P$3:$P$35)</f>
        <v>0</v>
      </c>
      <c r="Q44" s="117">
        <f t="shared" si="6"/>
        <v>0</v>
      </c>
      <c r="R44" s="117">
        <f t="shared" si="5"/>
        <v>0</v>
      </c>
      <c r="S44" s="117">
        <f t="shared" si="5"/>
        <v>0</v>
      </c>
      <c r="T44" s="117">
        <f t="shared" si="5"/>
        <v>0</v>
      </c>
      <c r="U44" s="117">
        <f t="shared" si="5"/>
        <v>0</v>
      </c>
      <c r="V44" s="151">
        <f t="shared" si="5"/>
        <v>0</v>
      </c>
      <c r="W44" s="152">
        <f t="shared" si="7"/>
      </c>
      <c r="X44" s="139">
        <f t="shared" si="8"/>
      </c>
    </row>
    <row r="45" spans="1:5" ht="15">
      <c r="A45" s="6" t="s">
        <v>13</v>
      </c>
      <c r="B45" s="9"/>
      <c r="C45" s="9"/>
      <c r="D45" s="9"/>
      <c r="E45" s="9"/>
    </row>
    <row r="46" spans="1:5" ht="15">
      <c r="A46" s="6" t="s">
        <v>14</v>
      </c>
      <c r="B46" s="9"/>
      <c r="C46" s="9"/>
      <c r="D46" s="9"/>
      <c r="E46" s="9"/>
    </row>
    <row r="47" spans="1:5" ht="15">
      <c r="A47" s="10"/>
      <c r="B47" s="6" t="s">
        <v>17</v>
      </c>
      <c r="C47" s="6" t="s">
        <v>18</v>
      </c>
      <c r="D47" s="10"/>
      <c r="E47" s="10"/>
    </row>
    <row r="48" spans="1:5" ht="15">
      <c r="A48" s="6" t="s">
        <v>16</v>
      </c>
      <c r="B48" s="9">
        <v>2</v>
      </c>
      <c r="C48" s="9">
        <v>30</v>
      </c>
      <c r="D48" s="10"/>
      <c r="E48" s="10"/>
    </row>
    <row r="49" spans="1:5" ht="15">
      <c r="A49" s="6" t="s">
        <v>15</v>
      </c>
      <c r="B49" s="9"/>
      <c r="C49" s="9"/>
      <c r="D49" s="10"/>
      <c r="E49" s="10"/>
    </row>
    <row r="52" spans="1:5" ht="15">
      <c r="A52" s="28" t="s">
        <v>7</v>
      </c>
      <c r="B52" s="6" t="s">
        <v>17</v>
      </c>
      <c r="C52" s="10"/>
      <c r="D52" s="10"/>
      <c r="E52" s="10"/>
    </row>
    <row r="53" spans="1:5" ht="15">
      <c r="A53" s="8" t="s">
        <v>86</v>
      </c>
      <c r="B53" s="9">
        <v>1</v>
      </c>
      <c r="C53" s="10"/>
      <c r="D53" s="10"/>
      <c r="E53" s="10"/>
    </row>
    <row r="54" spans="1:5" ht="15">
      <c r="A54" s="10"/>
      <c r="B54" s="6" t="s">
        <v>17</v>
      </c>
      <c r="C54" s="6" t="s">
        <v>190</v>
      </c>
      <c r="D54" s="6" t="s">
        <v>191</v>
      </c>
      <c r="E54" s="6" t="s">
        <v>34</v>
      </c>
    </row>
    <row r="55" spans="1:5" ht="15">
      <c r="A55" s="6" t="s">
        <v>8</v>
      </c>
      <c r="B55" s="9">
        <v>5</v>
      </c>
      <c r="C55" s="9"/>
      <c r="D55" s="9"/>
      <c r="E55" s="9"/>
    </row>
    <row r="56" spans="1:5" ht="15">
      <c r="A56" s="6" t="s">
        <v>9</v>
      </c>
      <c r="B56" s="9">
        <v>5</v>
      </c>
      <c r="C56" s="9">
        <v>14</v>
      </c>
      <c r="D56" s="9"/>
      <c r="E56" s="9"/>
    </row>
    <row r="57" spans="1:5" ht="15">
      <c r="A57" s="6" t="s">
        <v>10</v>
      </c>
      <c r="B57" s="9"/>
      <c r="C57" s="9"/>
      <c r="D57" s="9"/>
      <c r="E57" s="9"/>
    </row>
    <row r="58" spans="1:5" ht="15">
      <c r="A58" s="6" t="s">
        <v>11</v>
      </c>
      <c r="B58" s="9"/>
      <c r="C58" s="9"/>
      <c r="D58" s="9"/>
      <c r="E58" s="9"/>
    </row>
    <row r="59" spans="1:5" ht="15">
      <c r="A59" s="6" t="s">
        <v>12</v>
      </c>
      <c r="B59" s="9"/>
      <c r="C59" s="9"/>
      <c r="D59" s="9"/>
      <c r="E59" s="9"/>
    </row>
    <row r="60" spans="1:5" ht="15">
      <c r="A60" s="6" t="s">
        <v>13</v>
      </c>
      <c r="B60" s="9"/>
      <c r="C60" s="9"/>
      <c r="D60" s="9"/>
      <c r="E60" s="9"/>
    </row>
    <row r="61" spans="1:5" ht="15">
      <c r="A61" s="6" t="s">
        <v>14</v>
      </c>
      <c r="B61" s="9"/>
      <c r="C61" s="9"/>
      <c r="D61" s="9"/>
      <c r="E61" s="9"/>
    </row>
    <row r="62" spans="1:5" ht="15">
      <c r="A62" s="10"/>
      <c r="B62" s="6" t="s">
        <v>17</v>
      </c>
      <c r="C62" s="6" t="s">
        <v>18</v>
      </c>
      <c r="D62" s="10"/>
      <c r="E62" s="10"/>
    </row>
    <row r="63" spans="1:5" ht="15">
      <c r="A63" s="6" t="s">
        <v>16</v>
      </c>
      <c r="B63" s="9">
        <v>1</v>
      </c>
      <c r="C63" s="9">
        <v>36</v>
      </c>
      <c r="D63" s="10"/>
      <c r="E63" s="10"/>
    </row>
    <row r="64" spans="1:5" ht="15">
      <c r="A64" s="6" t="s">
        <v>15</v>
      </c>
      <c r="B64" s="9"/>
      <c r="C64" s="9"/>
      <c r="D64" s="10"/>
      <c r="E64" s="10"/>
    </row>
    <row r="67" spans="1:5" ht="15">
      <c r="A67" s="28" t="s">
        <v>7</v>
      </c>
      <c r="B67" s="6" t="s">
        <v>17</v>
      </c>
      <c r="C67" s="10"/>
      <c r="D67" s="10"/>
      <c r="E67" s="10"/>
    </row>
    <row r="68" spans="1:5" ht="15">
      <c r="A68" s="8" t="s">
        <v>85</v>
      </c>
      <c r="B68" s="9">
        <v>1</v>
      </c>
      <c r="C68" s="10"/>
      <c r="D68" s="10"/>
      <c r="E68" s="10"/>
    </row>
    <row r="69" spans="1:5" ht="15">
      <c r="A69" s="10"/>
      <c r="B69" s="6" t="s">
        <v>17</v>
      </c>
      <c r="C69" s="6" t="s">
        <v>190</v>
      </c>
      <c r="D69" s="6" t="s">
        <v>191</v>
      </c>
      <c r="E69" s="6" t="s">
        <v>34</v>
      </c>
    </row>
    <row r="70" spans="1:5" ht="15">
      <c r="A70" s="6" t="s">
        <v>8</v>
      </c>
      <c r="B70" s="9">
        <v>5</v>
      </c>
      <c r="C70" s="9"/>
      <c r="D70" s="9"/>
      <c r="E70" s="9"/>
    </row>
    <row r="71" spans="1:5" ht="15">
      <c r="A71" s="6" t="s">
        <v>9</v>
      </c>
      <c r="B71" s="9">
        <v>4</v>
      </c>
      <c r="C71" s="9">
        <v>14</v>
      </c>
      <c r="D71" s="9"/>
      <c r="E71" s="9"/>
    </row>
    <row r="72" spans="1:5" ht="15">
      <c r="A72" s="6" t="s">
        <v>10</v>
      </c>
      <c r="B72" s="9">
        <v>1</v>
      </c>
      <c r="C72" s="9">
        <v>18</v>
      </c>
      <c r="D72" s="9"/>
      <c r="E72" s="9" t="s">
        <v>35</v>
      </c>
    </row>
    <row r="73" spans="1:5" ht="15">
      <c r="A73" s="6" t="s">
        <v>11</v>
      </c>
      <c r="B73" s="9"/>
      <c r="C73" s="9"/>
      <c r="D73" s="9"/>
      <c r="E73" s="9"/>
    </row>
    <row r="74" spans="1:5" ht="15">
      <c r="A74" s="6" t="s">
        <v>12</v>
      </c>
      <c r="B74" s="9"/>
      <c r="C74" s="9"/>
      <c r="D74" s="9"/>
      <c r="E74" s="9"/>
    </row>
    <row r="75" spans="1:5" ht="15">
      <c r="A75" s="6" t="s">
        <v>13</v>
      </c>
      <c r="B75" s="9"/>
      <c r="C75" s="9"/>
      <c r="D75" s="9"/>
      <c r="E75" s="9"/>
    </row>
    <row r="76" spans="1:5" ht="15">
      <c r="A76" s="6" t="s">
        <v>14</v>
      </c>
      <c r="B76" s="9"/>
      <c r="C76" s="9"/>
      <c r="D76" s="9"/>
      <c r="E76" s="9"/>
    </row>
    <row r="77" spans="1:5" ht="15">
      <c r="A77" s="10"/>
      <c r="B77" s="6" t="s">
        <v>17</v>
      </c>
      <c r="C77" s="6" t="s">
        <v>18</v>
      </c>
      <c r="D77" s="10"/>
      <c r="E77" s="10"/>
    </row>
    <row r="78" spans="1:5" ht="15">
      <c r="A78" s="6" t="s">
        <v>16</v>
      </c>
      <c r="B78" s="9">
        <v>1</v>
      </c>
      <c r="C78" s="9">
        <v>47</v>
      </c>
      <c r="D78" s="10"/>
      <c r="E78" s="10"/>
    </row>
    <row r="79" spans="1:5" ht="15">
      <c r="A79" s="6" t="s">
        <v>15</v>
      </c>
      <c r="B79" s="9"/>
      <c r="C79" s="9"/>
      <c r="D79" s="10"/>
      <c r="E79" s="10"/>
    </row>
    <row r="82" spans="1:5" ht="15">
      <c r="A82" s="28" t="s">
        <v>7</v>
      </c>
      <c r="B82" s="6" t="s">
        <v>17</v>
      </c>
      <c r="C82" s="10"/>
      <c r="D82" s="10"/>
      <c r="E82" s="10"/>
    </row>
    <row r="83" spans="1:5" ht="15">
      <c r="A83" s="8" t="s">
        <v>87</v>
      </c>
      <c r="B83" s="9">
        <v>2</v>
      </c>
      <c r="C83" s="10"/>
      <c r="D83" s="10"/>
      <c r="E83" s="10"/>
    </row>
    <row r="84" spans="1:5" ht="15">
      <c r="A84" s="10"/>
      <c r="B84" s="6" t="s">
        <v>17</v>
      </c>
      <c r="C84" s="6" t="s">
        <v>190</v>
      </c>
      <c r="D84" s="6" t="s">
        <v>191</v>
      </c>
      <c r="E84" s="6" t="s">
        <v>34</v>
      </c>
    </row>
    <row r="85" spans="1:5" ht="15">
      <c r="A85" s="6" t="s">
        <v>8</v>
      </c>
      <c r="B85" s="9">
        <v>14</v>
      </c>
      <c r="C85" s="9"/>
      <c r="D85" s="9"/>
      <c r="E85" s="9"/>
    </row>
    <row r="86" spans="1:5" ht="15">
      <c r="A86" s="6" t="s">
        <v>9</v>
      </c>
      <c r="B86" s="9">
        <v>12</v>
      </c>
      <c r="C86" s="9">
        <v>14</v>
      </c>
      <c r="D86" s="9"/>
      <c r="E86" s="9"/>
    </row>
    <row r="87" spans="1:5" ht="15">
      <c r="A87" s="6" t="s">
        <v>10</v>
      </c>
      <c r="B87" s="9">
        <v>2</v>
      </c>
      <c r="C87" s="9">
        <v>18</v>
      </c>
      <c r="D87" s="9"/>
      <c r="E87" s="9"/>
    </row>
    <row r="88" spans="1:5" ht="15">
      <c r="A88" s="6" t="s">
        <v>11</v>
      </c>
      <c r="B88" s="9"/>
      <c r="C88" s="9"/>
      <c r="D88" s="9"/>
      <c r="E88" s="9"/>
    </row>
    <row r="89" spans="1:5" ht="15">
      <c r="A89" s="6" t="s">
        <v>12</v>
      </c>
      <c r="B89" s="9"/>
      <c r="C89" s="9"/>
      <c r="D89" s="9"/>
      <c r="E89" s="9"/>
    </row>
    <row r="90" spans="1:5" ht="15">
      <c r="A90" s="6" t="s">
        <v>13</v>
      </c>
      <c r="B90" s="9"/>
      <c r="C90" s="9"/>
      <c r="D90" s="9"/>
      <c r="E90" s="9"/>
    </row>
    <row r="91" spans="1:5" ht="15">
      <c r="A91" s="6" t="s">
        <v>14</v>
      </c>
      <c r="B91" s="9"/>
      <c r="C91" s="9"/>
      <c r="D91" s="9"/>
      <c r="E91" s="9"/>
    </row>
    <row r="92" spans="1:5" ht="15">
      <c r="A92" s="10"/>
      <c r="B92" s="6" t="s">
        <v>17</v>
      </c>
      <c r="C92" s="6" t="s">
        <v>18</v>
      </c>
      <c r="D92" s="10"/>
      <c r="E92" s="10"/>
    </row>
    <row r="93" spans="1:5" ht="15">
      <c r="A93" s="6" t="s">
        <v>16</v>
      </c>
      <c r="B93" s="9">
        <v>2</v>
      </c>
      <c r="C93" s="9">
        <v>36</v>
      </c>
      <c r="D93" s="10"/>
      <c r="E93" s="10"/>
    </row>
    <row r="94" spans="1:5" ht="15">
      <c r="A94" s="6" t="s">
        <v>15</v>
      </c>
      <c r="B94" s="9"/>
      <c r="C94" s="9"/>
      <c r="D94" s="10"/>
      <c r="E94" s="10"/>
    </row>
    <row r="97" spans="1:5" ht="15">
      <c r="A97" s="28" t="s">
        <v>7</v>
      </c>
      <c r="B97" s="6" t="s">
        <v>17</v>
      </c>
      <c r="C97" s="10"/>
      <c r="D97" s="10"/>
      <c r="E97" s="10"/>
    </row>
    <row r="98" spans="1:5" ht="15">
      <c r="A98" s="8" t="s">
        <v>88</v>
      </c>
      <c r="B98" s="9">
        <v>1</v>
      </c>
      <c r="C98" s="10"/>
      <c r="D98" s="10"/>
      <c r="E98" s="10"/>
    </row>
    <row r="99" spans="1:5" ht="15">
      <c r="A99" s="10"/>
      <c r="B99" s="6" t="s">
        <v>17</v>
      </c>
      <c r="C99" s="6" t="s">
        <v>190</v>
      </c>
      <c r="D99" s="6" t="s">
        <v>191</v>
      </c>
      <c r="E99" s="6" t="s">
        <v>34</v>
      </c>
    </row>
    <row r="100" spans="1:5" ht="15">
      <c r="A100" s="6" t="s">
        <v>8</v>
      </c>
      <c r="B100" s="9">
        <v>4</v>
      </c>
      <c r="C100" s="9"/>
      <c r="D100" s="9"/>
      <c r="E100" s="9"/>
    </row>
    <row r="101" spans="1:5" ht="15">
      <c r="A101" s="6" t="s">
        <v>9</v>
      </c>
      <c r="B101" s="9">
        <v>4</v>
      </c>
      <c r="C101" s="9">
        <v>14</v>
      </c>
      <c r="D101" s="9"/>
      <c r="E101" s="9"/>
    </row>
    <row r="102" spans="1:5" ht="15">
      <c r="A102" s="6" t="s">
        <v>10</v>
      </c>
      <c r="B102" s="9"/>
      <c r="C102" s="9"/>
      <c r="D102" s="9"/>
      <c r="E102" s="9"/>
    </row>
    <row r="103" spans="1:5" ht="15">
      <c r="A103" s="6" t="s">
        <v>11</v>
      </c>
      <c r="B103" s="9"/>
      <c r="C103" s="9"/>
      <c r="D103" s="9"/>
      <c r="E103" s="9"/>
    </row>
    <row r="104" spans="1:5" ht="15">
      <c r="A104" s="6" t="s">
        <v>12</v>
      </c>
      <c r="B104" s="9"/>
      <c r="C104" s="9"/>
      <c r="D104" s="9"/>
      <c r="E104" s="9"/>
    </row>
    <row r="105" spans="1:5" ht="15">
      <c r="A105" s="6" t="s">
        <v>13</v>
      </c>
      <c r="B105" s="9"/>
      <c r="C105" s="9"/>
      <c r="D105" s="9"/>
      <c r="E105" s="9"/>
    </row>
    <row r="106" spans="1:5" ht="15">
      <c r="A106" s="6" t="s">
        <v>14</v>
      </c>
      <c r="B106" s="9"/>
      <c r="C106" s="9"/>
      <c r="D106" s="9"/>
      <c r="E106" s="9"/>
    </row>
    <row r="107" spans="1:5" ht="15">
      <c r="A107" s="10"/>
      <c r="B107" s="6" t="s">
        <v>17</v>
      </c>
      <c r="C107" s="6" t="s">
        <v>18</v>
      </c>
      <c r="D107" s="10"/>
      <c r="E107" s="10"/>
    </row>
    <row r="108" spans="1:5" ht="15">
      <c r="A108" s="6" t="s">
        <v>16</v>
      </c>
      <c r="B108" s="9">
        <v>1</v>
      </c>
      <c r="C108" s="9">
        <v>38</v>
      </c>
      <c r="D108" s="10"/>
      <c r="E108" s="10"/>
    </row>
    <row r="109" spans="1:5" ht="15">
      <c r="A109" s="6" t="s">
        <v>15</v>
      </c>
      <c r="B109" s="9"/>
      <c r="C109" s="9"/>
      <c r="D109" s="10"/>
      <c r="E109" s="10"/>
    </row>
    <row r="112" spans="1:5" ht="15">
      <c r="A112" s="28" t="s">
        <v>7</v>
      </c>
      <c r="B112" s="6" t="s">
        <v>17</v>
      </c>
      <c r="C112" s="10"/>
      <c r="D112" s="10"/>
      <c r="E112" s="10"/>
    </row>
    <row r="113" spans="1:5" ht="15">
      <c r="A113" s="8" t="s">
        <v>89</v>
      </c>
      <c r="B113" s="9">
        <v>1</v>
      </c>
      <c r="C113" s="10"/>
      <c r="D113" s="10"/>
      <c r="E113" s="10"/>
    </row>
    <row r="114" spans="1:5" ht="15">
      <c r="A114" s="10"/>
      <c r="B114" s="6" t="s">
        <v>17</v>
      </c>
      <c r="C114" s="6" t="s">
        <v>190</v>
      </c>
      <c r="D114" s="6" t="s">
        <v>191</v>
      </c>
      <c r="E114" s="6" t="s">
        <v>34</v>
      </c>
    </row>
    <row r="115" spans="1:5" ht="15">
      <c r="A115" s="6" t="s">
        <v>8</v>
      </c>
      <c r="B115" s="9">
        <v>6</v>
      </c>
      <c r="C115" s="9"/>
      <c r="D115" s="9"/>
      <c r="E115" s="9"/>
    </row>
    <row r="116" spans="1:5" ht="15">
      <c r="A116" s="6" t="s">
        <v>9</v>
      </c>
      <c r="B116" s="9">
        <v>5</v>
      </c>
      <c r="C116" s="9">
        <v>14</v>
      </c>
      <c r="D116" s="9"/>
      <c r="E116" s="9"/>
    </row>
    <row r="117" spans="1:5" ht="15">
      <c r="A117" s="6" t="s">
        <v>10</v>
      </c>
      <c r="B117" s="9">
        <v>1</v>
      </c>
      <c r="C117" s="9">
        <v>18</v>
      </c>
      <c r="D117" s="9"/>
      <c r="E117" s="9"/>
    </row>
    <row r="118" spans="1:5" ht="15">
      <c r="A118" s="6" t="s">
        <v>11</v>
      </c>
      <c r="B118" s="9"/>
      <c r="C118" s="9"/>
      <c r="D118" s="9"/>
      <c r="E118" s="9"/>
    </row>
    <row r="119" spans="1:5" ht="15">
      <c r="A119" s="6" t="s">
        <v>12</v>
      </c>
      <c r="B119" s="9"/>
      <c r="C119" s="9"/>
      <c r="D119" s="9"/>
      <c r="E119" s="9"/>
    </row>
    <row r="120" spans="1:5" ht="15">
      <c r="A120" s="6" t="s">
        <v>13</v>
      </c>
      <c r="B120" s="9"/>
      <c r="C120" s="9"/>
      <c r="D120" s="9"/>
      <c r="E120" s="9"/>
    </row>
    <row r="121" spans="1:5" ht="15">
      <c r="A121" s="6" t="s">
        <v>14</v>
      </c>
      <c r="B121" s="9"/>
      <c r="C121" s="9"/>
      <c r="D121" s="9"/>
      <c r="E121" s="9"/>
    </row>
    <row r="122" spans="1:5" ht="15">
      <c r="A122" s="10"/>
      <c r="B122" s="6" t="s">
        <v>17</v>
      </c>
      <c r="C122" s="6" t="s">
        <v>18</v>
      </c>
      <c r="D122" s="10"/>
      <c r="E122" s="10"/>
    </row>
    <row r="123" spans="1:5" ht="15">
      <c r="A123" s="6" t="s">
        <v>16</v>
      </c>
      <c r="B123" s="9">
        <v>1</v>
      </c>
      <c r="C123" s="9">
        <v>32</v>
      </c>
      <c r="D123" s="10"/>
      <c r="E123" s="10"/>
    </row>
    <row r="124" spans="1:5" ht="15">
      <c r="A124" s="6" t="s">
        <v>15</v>
      </c>
      <c r="B124" s="9"/>
      <c r="C124" s="9"/>
      <c r="D124" s="10"/>
      <c r="E124" s="10"/>
    </row>
    <row r="127" spans="1:5" ht="15">
      <c r="A127" s="28" t="s">
        <v>7</v>
      </c>
      <c r="B127" s="6" t="s">
        <v>17</v>
      </c>
      <c r="C127" s="10"/>
      <c r="D127" s="10"/>
      <c r="E127" s="10"/>
    </row>
    <row r="128" spans="1:5" ht="15">
      <c r="A128" s="8" t="s">
        <v>90</v>
      </c>
      <c r="B128" s="9">
        <v>2</v>
      </c>
      <c r="C128" s="10"/>
      <c r="D128" s="10"/>
      <c r="E128" s="10"/>
    </row>
    <row r="129" spans="1:5" ht="15">
      <c r="A129" s="10"/>
      <c r="B129" s="6" t="s">
        <v>17</v>
      </c>
      <c r="C129" s="6" t="s">
        <v>190</v>
      </c>
      <c r="D129" s="6" t="s">
        <v>191</v>
      </c>
      <c r="E129" s="6" t="s">
        <v>34</v>
      </c>
    </row>
    <row r="130" spans="1:5" ht="15">
      <c r="A130" s="6" t="s">
        <v>8</v>
      </c>
      <c r="B130" s="9">
        <v>16</v>
      </c>
      <c r="C130" s="9"/>
      <c r="D130" s="9"/>
      <c r="E130" s="9"/>
    </row>
    <row r="131" spans="1:5" ht="15">
      <c r="A131" s="6" t="s">
        <v>9</v>
      </c>
      <c r="B131" s="9">
        <v>16</v>
      </c>
      <c r="C131" s="9">
        <v>14</v>
      </c>
      <c r="D131" s="9"/>
      <c r="E131" s="9"/>
    </row>
    <row r="132" spans="1:5" ht="15">
      <c r="A132" s="6" t="s">
        <v>10</v>
      </c>
      <c r="B132" s="9"/>
      <c r="C132" s="9"/>
      <c r="D132" s="9"/>
      <c r="E132" s="9"/>
    </row>
    <row r="133" spans="1:5" ht="15">
      <c r="A133" s="6" t="s">
        <v>11</v>
      </c>
      <c r="B133" s="9"/>
      <c r="C133" s="9"/>
      <c r="D133" s="9"/>
      <c r="E133" s="9"/>
    </row>
    <row r="134" spans="1:5" ht="15">
      <c r="A134" s="6" t="s">
        <v>12</v>
      </c>
      <c r="B134" s="9"/>
      <c r="C134" s="9"/>
      <c r="D134" s="9"/>
      <c r="E134" s="9"/>
    </row>
    <row r="135" spans="1:5" ht="15">
      <c r="A135" s="6" t="s">
        <v>13</v>
      </c>
      <c r="B135" s="9"/>
      <c r="C135" s="9"/>
      <c r="D135" s="9"/>
      <c r="E135" s="9"/>
    </row>
    <row r="136" spans="1:5" ht="15">
      <c r="A136" s="6" t="s">
        <v>14</v>
      </c>
      <c r="B136" s="9"/>
      <c r="C136" s="9"/>
      <c r="D136" s="9"/>
      <c r="E136" s="9"/>
    </row>
    <row r="137" spans="1:5" ht="15">
      <c r="A137" s="10"/>
      <c r="B137" s="6" t="s">
        <v>17</v>
      </c>
      <c r="C137" s="6" t="s">
        <v>18</v>
      </c>
      <c r="D137" s="10"/>
      <c r="E137" s="10"/>
    </row>
    <row r="138" spans="1:5" ht="15">
      <c r="A138" s="6" t="s">
        <v>16</v>
      </c>
      <c r="B138" s="9">
        <v>2</v>
      </c>
      <c r="C138" s="9">
        <v>50</v>
      </c>
      <c r="D138" s="10"/>
      <c r="E138" s="10"/>
    </row>
    <row r="139" spans="1:5" ht="15">
      <c r="A139" s="6" t="s">
        <v>15</v>
      </c>
      <c r="B139" s="9"/>
      <c r="C139" s="9"/>
      <c r="D139" s="10"/>
      <c r="E139" s="10"/>
    </row>
    <row r="142" spans="1:5" ht="15">
      <c r="A142" s="28" t="s">
        <v>7</v>
      </c>
      <c r="B142" s="6" t="s">
        <v>17</v>
      </c>
      <c r="C142" s="10"/>
      <c r="D142" s="10"/>
      <c r="E142" s="10"/>
    </row>
    <row r="143" spans="1:5" ht="15">
      <c r="A143" s="8" t="s">
        <v>91</v>
      </c>
      <c r="B143" s="9">
        <v>1</v>
      </c>
      <c r="C143" s="10"/>
      <c r="D143" s="10"/>
      <c r="E143" s="10"/>
    </row>
    <row r="144" spans="1:5" ht="15">
      <c r="A144" s="10"/>
      <c r="B144" s="6" t="s">
        <v>17</v>
      </c>
      <c r="C144" s="6" t="s">
        <v>190</v>
      </c>
      <c r="D144" s="6" t="s">
        <v>191</v>
      </c>
      <c r="E144" s="6" t="s">
        <v>34</v>
      </c>
    </row>
    <row r="145" spans="1:5" ht="15">
      <c r="A145" s="6" t="s">
        <v>8</v>
      </c>
      <c r="B145" s="9">
        <v>7</v>
      </c>
      <c r="C145" s="9"/>
      <c r="D145" s="9"/>
      <c r="E145" s="9"/>
    </row>
    <row r="146" spans="1:5" ht="15">
      <c r="A146" s="6" t="s">
        <v>9</v>
      </c>
      <c r="B146" s="9">
        <v>6</v>
      </c>
      <c r="C146" s="9">
        <v>14</v>
      </c>
      <c r="D146" s="9"/>
      <c r="E146" s="9"/>
    </row>
    <row r="147" spans="1:5" ht="15">
      <c r="A147" s="6" t="s">
        <v>10</v>
      </c>
      <c r="B147" s="9">
        <v>1</v>
      </c>
      <c r="C147" s="9">
        <v>18</v>
      </c>
      <c r="D147" s="9"/>
      <c r="E147" s="9"/>
    </row>
    <row r="148" spans="1:5" ht="15">
      <c r="A148" s="6" t="s">
        <v>11</v>
      </c>
      <c r="B148" s="9"/>
      <c r="C148" s="9"/>
      <c r="D148" s="9"/>
      <c r="E148" s="9"/>
    </row>
    <row r="149" spans="1:5" ht="15">
      <c r="A149" s="6" t="s">
        <v>12</v>
      </c>
      <c r="B149" s="9"/>
      <c r="C149" s="9"/>
      <c r="D149" s="9"/>
      <c r="E149" s="9"/>
    </row>
    <row r="150" spans="1:5" ht="15">
      <c r="A150" s="6" t="s">
        <v>13</v>
      </c>
      <c r="B150" s="9"/>
      <c r="C150" s="9"/>
      <c r="D150" s="9"/>
      <c r="E150" s="9"/>
    </row>
    <row r="151" spans="1:5" ht="15">
      <c r="A151" s="6" t="s">
        <v>14</v>
      </c>
      <c r="B151" s="9"/>
      <c r="C151" s="9"/>
      <c r="D151" s="9"/>
      <c r="E151" s="9"/>
    </row>
    <row r="152" spans="1:5" ht="15">
      <c r="A152" s="10"/>
      <c r="B152" s="6" t="s">
        <v>17</v>
      </c>
      <c r="C152" s="6" t="s">
        <v>18</v>
      </c>
      <c r="D152" s="10"/>
      <c r="E152" s="10"/>
    </row>
    <row r="153" spans="1:5" ht="15">
      <c r="A153" s="6" t="s">
        <v>16</v>
      </c>
      <c r="B153" s="9">
        <v>1</v>
      </c>
      <c r="C153" s="9">
        <v>38</v>
      </c>
      <c r="D153" s="10"/>
      <c r="E153" s="10"/>
    </row>
    <row r="154" spans="1:5" ht="15">
      <c r="A154" s="6" t="s">
        <v>15</v>
      </c>
      <c r="B154" s="9"/>
      <c r="C154" s="9"/>
      <c r="D154" s="10"/>
      <c r="E154" s="10"/>
    </row>
    <row r="157" spans="1:5" ht="15">
      <c r="A157" s="16"/>
      <c r="B157" s="15"/>
      <c r="C157" s="3"/>
      <c r="D157" s="3"/>
      <c r="E157" s="3"/>
    </row>
    <row r="158" spans="1:5" ht="15">
      <c r="A158" s="17"/>
      <c r="B158" s="18"/>
      <c r="C158" s="3"/>
      <c r="D158" s="3"/>
      <c r="E158" s="3"/>
    </row>
    <row r="159" spans="1:5" ht="15">
      <c r="A159" s="3"/>
      <c r="B159" s="15"/>
      <c r="C159" s="15"/>
      <c r="D159" s="15"/>
      <c r="E159" s="15"/>
    </row>
    <row r="160" spans="1:5" ht="15">
      <c r="A160" s="15"/>
      <c r="B160" s="18"/>
      <c r="C160" s="18"/>
      <c r="D160" s="18"/>
      <c r="E160" s="18"/>
    </row>
    <row r="161" spans="1:5" ht="15">
      <c r="A161" s="15"/>
      <c r="B161" s="18"/>
      <c r="C161" s="18"/>
      <c r="D161" s="18"/>
      <c r="E161" s="18"/>
    </row>
    <row r="162" spans="1:5" ht="15">
      <c r="A162" s="15"/>
      <c r="B162" s="18"/>
      <c r="C162" s="18"/>
      <c r="D162" s="18"/>
      <c r="E162" s="18"/>
    </row>
    <row r="163" spans="1:5" ht="15">
      <c r="A163" s="15"/>
      <c r="B163" s="18"/>
      <c r="C163" s="18"/>
      <c r="D163" s="18"/>
      <c r="E163" s="18"/>
    </row>
    <row r="164" spans="1:5" ht="15">
      <c r="A164" s="15"/>
      <c r="B164" s="18"/>
      <c r="C164" s="18"/>
      <c r="D164" s="18"/>
      <c r="E164" s="18"/>
    </row>
    <row r="165" spans="1:5" ht="15">
      <c r="A165" s="15"/>
      <c r="B165" s="18"/>
      <c r="C165" s="18"/>
      <c r="D165" s="18"/>
      <c r="E165" s="18"/>
    </row>
    <row r="166" spans="1:5" ht="15">
      <c r="A166" s="15"/>
      <c r="B166" s="18"/>
      <c r="C166" s="18"/>
      <c r="D166" s="18"/>
      <c r="E166" s="18"/>
    </row>
    <row r="167" spans="1:5" ht="15">
      <c r="A167" s="3"/>
      <c r="B167" s="15"/>
      <c r="C167" s="15"/>
      <c r="D167" s="3"/>
      <c r="E167" s="3"/>
    </row>
    <row r="168" spans="1:5" ht="15">
      <c r="A168" s="15"/>
      <c r="B168" s="18"/>
      <c r="C168" s="18"/>
      <c r="D168" s="3"/>
      <c r="E168" s="3"/>
    </row>
    <row r="169" spans="1:5" ht="15">
      <c r="A169" s="15"/>
      <c r="B169" s="18"/>
      <c r="C169" s="18"/>
      <c r="D169" s="3"/>
      <c r="E169" s="3"/>
    </row>
  </sheetData>
  <sheetProtection/>
  <printOptions/>
  <pageMargins left="0.7" right="0.7" top="0.75" bottom="0.75" header="0.3" footer="0.3"/>
  <pageSetup horizontalDpi="600" verticalDpi="600" orientation="landscape" paperSize="8" scale="87" r:id="rId1"/>
  <rowBreaks count="2" manualBreakCount="2">
    <brk id="49" max="255" man="1"/>
    <brk id="96" max="255" man="1"/>
  </rowBreaks>
  <colBreaks count="2" manualBreakCount="2">
    <brk id="8" max="65535" man="1"/>
    <brk id="13" max="65535" man="1"/>
  </colBreaks>
</worksheet>
</file>

<file path=xl/worksheets/sheet9.xml><?xml version="1.0" encoding="utf-8"?>
<worksheet xmlns="http://schemas.openxmlformats.org/spreadsheetml/2006/main" xmlns:r="http://schemas.openxmlformats.org/officeDocument/2006/relationships">
  <sheetPr>
    <tabColor theme="9"/>
  </sheetPr>
  <dimension ref="A1:X96"/>
  <sheetViews>
    <sheetView view="pageBreakPreview" zoomScale="60" zoomScaleNormal="70" zoomScalePageLayoutView="0" workbookViewId="0" topLeftCell="A7">
      <selection activeCell="G7" sqref="G7"/>
    </sheetView>
  </sheetViews>
  <sheetFormatPr defaultColWidth="9.140625" defaultRowHeight="15"/>
  <cols>
    <col min="1" max="1" width="36.57421875" style="0" bestFit="1" customWidth="1"/>
    <col min="3" max="3" width="19.140625" style="0" bestFit="1" customWidth="1"/>
    <col min="4" max="4" width="24.421875" style="0" bestFit="1" customWidth="1"/>
    <col min="5" max="5" width="15.7109375" style="0" bestFit="1" customWidth="1"/>
    <col min="11" max="11" width="78.57421875" style="0" bestFit="1" customWidth="1"/>
    <col min="12" max="12" width="10.7109375" style="0" customWidth="1"/>
    <col min="14" max="24" width="15.7109375" style="0" customWidth="1"/>
  </cols>
  <sheetData>
    <row r="1" spans="1:2" ht="15.75" thickBot="1">
      <c r="A1" s="6" t="s">
        <v>19</v>
      </c>
      <c r="B1" s="10"/>
    </row>
    <row r="2" spans="1:24" ht="75">
      <c r="A2" s="7" t="s">
        <v>92</v>
      </c>
      <c r="B2" s="10"/>
      <c r="N2" s="111"/>
      <c r="O2" s="126" t="str">
        <f>' City Side Phase 1'!O2</f>
        <v>Size of Cluster</v>
      </c>
      <c r="P2" s="126" t="str">
        <f>' City Side Phase 1'!P2</f>
        <v>No. of Beds</v>
      </c>
      <c r="Q2" s="126" t="str">
        <f>' City Side Phase 1'!Q2</f>
        <v>No. Of Clusters</v>
      </c>
      <c r="R2" s="126" t="str">
        <f>' City Side Phase 1'!R2</f>
        <v>No. of Kitchen / Living Areas</v>
      </c>
      <c r="S2" s="126" t="str">
        <f>' City Side Phase 1'!S2</f>
        <v>Size of Kitchen l Living Areas (sqm)</v>
      </c>
      <c r="T2" s="126" t="str">
        <f>' City Side Phase 1'!T2</f>
        <v>Number of Accessible Bedrooms</v>
      </c>
      <c r="U2" s="126" t="str">
        <f>' City Side Phase 1'!U2</f>
        <v>Number of Bedrooms not Counting Accessible</v>
      </c>
      <c r="V2" s="126" t="str">
        <f>' City Side Phase 1'!V2</f>
        <v>Overall Area of Kitchen / Living (sqm)</v>
      </c>
      <c r="W2" s="126" t="str">
        <f>' City Side Phase 1'!W2</f>
        <v>Av. Area of K/L Per Bedroom for All Units (sqm)</v>
      </c>
      <c r="X2" s="127" t="str">
        <f>' City Side Phase 1'!X2</f>
        <v>Av. Area of K/L Per bedroom not counting Accessible Units (sqm)</v>
      </c>
    </row>
    <row r="3" spans="1:24" ht="15">
      <c r="A3" s="6" t="s">
        <v>20</v>
      </c>
      <c r="B3" s="7">
        <v>80</v>
      </c>
      <c r="K3" s="2"/>
      <c r="L3" s="2"/>
      <c r="N3" s="140" t="s">
        <v>168</v>
      </c>
      <c r="O3" s="107">
        <f>P3/Q3</f>
        <v>6</v>
      </c>
      <c r="P3" s="98">
        <f>B10</f>
        <v>72</v>
      </c>
      <c r="Q3" s="98">
        <f>B8</f>
        <v>12</v>
      </c>
      <c r="R3" s="98">
        <f>B18</f>
        <v>12</v>
      </c>
      <c r="S3" s="98">
        <f>C18</f>
        <v>40</v>
      </c>
      <c r="T3" s="98">
        <v>0</v>
      </c>
      <c r="U3" s="99">
        <f>P3-T3</f>
        <v>72</v>
      </c>
      <c r="V3" s="100">
        <f>R3*S3</f>
        <v>480</v>
      </c>
      <c r="W3" s="134">
        <f>V3/P3</f>
        <v>6.666666666666667</v>
      </c>
      <c r="X3" s="135">
        <f>V3/U3</f>
        <v>6.666666666666667</v>
      </c>
    </row>
    <row r="4" spans="1:24" ht="15">
      <c r="A4" s="7"/>
      <c r="B4" s="13"/>
      <c r="K4" s="2"/>
      <c r="L4" s="2"/>
      <c r="N4" s="141"/>
      <c r="O4" s="108">
        <f>P4/Q4</f>
        <v>4</v>
      </c>
      <c r="P4" s="94">
        <f>B25</f>
        <v>104</v>
      </c>
      <c r="Q4" s="94">
        <f>B23</f>
        <v>26</v>
      </c>
      <c r="R4" s="94">
        <f>B33</f>
        <v>26</v>
      </c>
      <c r="S4" s="94">
        <f>C33</f>
        <v>27</v>
      </c>
      <c r="T4" s="94">
        <v>0</v>
      </c>
      <c r="U4" s="95">
        <f>P4-T4</f>
        <v>104</v>
      </c>
      <c r="V4" s="96">
        <f>R4*S4</f>
        <v>702</v>
      </c>
      <c r="W4" s="136">
        <f>V4/P4</f>
        <v>6.75</v>
      </c>
      <c r="X4" s="137">
        <f>V4/U4</f>
        <v>6.75</v>
      </c>
    </row>
    <row r="5" spans="1:24" ht="15">
      <c r="A5" s="7"/>
      <c r="B5" s="13"/>
      <c r="K5" s="20" t="str">
        <f>'Summary Sheet'!C6</f>
        <v>General Communal Area</v>
      </c>
      <c r="L5" s="182">
        <f>B3</f>
        <v>80</v>
      </c>
      <c r="N5" s="141"/>
      <c r="O5" s="108">
        <f>P5/Q5</f>
        <v>4</v>
      </c>
      <c r="P5" s="94">
        <f>B40</f>
        <v>56</v>
      </c>
      <c r="Q5" s="94">
        <f>B38</f>
        <v>14</v>
      </c>
      <c r="R5" s="94">
        <f>B48</f>
        <v>14</v>
      </c>
      <c r="S5" s="94">
        <f>C48</f>
        <v>25</v>
      </c>
      <c r="T5" s="94">
        <f>B42</f>
        <v>14</v>
      </c>
      <c r="U5" s="95">
        <f>P5-T5</f>
        <v>42</v>
      </c>
      <c r="V5" s="96">
        <f>R5*S5</f>
        <v>350</v>
      </c>
      <c r="W5" s="136">
        <f>V5/P5</f>
        <v>6.25</v>
      </c>
      <c r="X5" s="137">
        <f>V5/U5</f>
        <v>8.333333333333334</v>
      </c>
    </row>
    <row r="6" spans="1:24" ht="15">
      <c r="A6" s="6"/>
      <c r="B6" s="7"/>
      <c r="K6" s="20" t="str">
        <f>'Summary Sheet'!C7</f>
        <v>Kitchen / Dining / Living Area (Shared Internal Area)</v>
      </c>
      <c r="L6" s="182">
        <f>(B18*C18)+(B33*C33)+(B48*C48)+(B63*C63)</f>
        <v>1924</v>
      </c>
      <c r="N6" s="141"/>
      <c r="O6" s="108">
        <f>P6/Q6</f>
        <v>4</v>
      </c>
      <c r="P6" s="94">
        <f>B55</f>
        <v>56</v>
      </c>
      <c r="Q6" s="94">
        <f>B53</f>
        <v>14</v>
      </c>
      <c r="R6" s="94">
        <f>B63</f>
        <v>14</v>
      </c>
      <c r="S6" s="94">
        <f>C63</f>
        <v>28</v>
      </c>
      <c r="T6" s="94">
        <v>0</v>
      </c>
      <c r="U6" s="95">
        <f>P6-T6</f>
        <v>56</v>
      </c>
      <c r="V6" s="96">
        <f>R6*S6</f>
        <v>392</v>
      </c>
      <c r="W6" s="136">
        <f>V6/P6</f>
        <v>7</v>
      </c>
      <c r="X6" s="137">
        <f>V6/U6</f>
        <v>7</v>
      </c>
    </row>
    <row r="7" spans="1:24" ht="15">
      <c r="A7" s="28" t="s">
        <v>7</v>
      </c>
      <c r="B7" s="6" t="s">
        <v>17</v>
      </c>
      <c r="C7" s="10"/>
      <c r="D7" s="10"/>
      <c r="E7" s="10"/>
      <c r="K7" s="20" t="str">
        <f>'Summary Sheet'!C8</f>
        <v>Total Communal Area</v>
      </c>
      <c r="L7" s="185">
        <f>SUM(L5:L6)</f>
        <v>2004</v>
      </c>
      <c r="N7" s="141"/>
      <c r="O7" s="108"/>
      <c r="P7" s="94"/>
      <c r="Q7" s="94"/>
      <c r="R7" s="94"/>
      <c r="S7" s="94"/>
      <c r="T7" s="94"/>
      <c r="U7" s="95"/>
      <c r="V7" s="96"/>
      <c r="W7" s="136"/>
      <c r="X7" s="137"/>
    </row>
    <row r="8" spans="1:24" ht="15">
      <c r="A8" s="8" t="s">
        <v>93</v>
      </c>
      <c r="B8" s="9">
        <v>12</v>
      </c>
      <c r="C8" s="10"/>
      <c r="D8" s="10"/>
      <c r="E8" s="10"/>
      <c r="K8" s="20"/>
      <c r="L8" s="182"/>
      <c r="N8" s="141"/>
      <c r="O8" s="108"/>
      <c r="P8" s="94"/>
      <c r="Q8" s="94"/>
      <c r="R8" s="94"/>
      <c r="S8" s="94"/>
      <c r="T8" s="94"/>
      <c r="U8" s="95"/>
      <c r="V8" s="96"/>
      <c r="W8" s="136"/>
      <c r="X8" s="137"/>
    </row>
    <row r="9" spans="1:24" ht="15">
      <c r="A9" s="10"/>
      <c r="B9" s="6" t="s">
        <v>17</v>
      </c>
      <c r="C9" s="6" t="s">
        <v>190</v>
      </c>
      <c r="D9" s="6" t="s">
        <v>191</v>
      </c>
      <c r="E9" s="6" t="s">
        <v>34</v>
      </c>
      <c r="K9" s="20"/>
      <c r="L9" s="182"/>
      <c r="N9" s="141"/>
      <c r="O9" s="108"/>
      <c r="P9" s="94"/>
      <c r="Q9" s="94"/>
      <c r="R9" s="94"/>
      <c r="S9" s="94"/>
      <c r="T9" s="94"/>
      <c r="U9" s="95"/>
      <c r="V9" s="96"/>
      <c r="W9" s="136"/>
      <c r="X9" s="137"/>
    </row>
    <row r="10" spans="1:24" ht="15">
      <c r="A10" s="6" t="s">
        <v>8</v>
      </c>
      <c r="B10" s="9">
        <v>72</v>
      </c>
      <c r="C10" s="9"/>
      <c r="D10" s="9"/>
      <c r="E10" s="9"/>
      <c r="K10" s="20" t="str">
        <f>'Summary Sheet'!C10</f>
        <v>Number of Bedrooms (cluster &amp; studio) (non Accessible)</v>
      </c>
      <c r="L10" s="6">
        <f>B11+B26+B41+B56</f>
        <v>274</v>
      </c>
      <c r="N10" s="141"/>
      <c r="O10" s="108"/>
      <c r="P10" s="94"/>
      <c r="Q10" s="94"/>
      <c r="R10" s="94"/>
      <c r="S10" s="94"/>
      <c r="T10" s="94"/>
      <c r="U10" s="95"/>
      <c r="V10" s="96"/>
      <c r="W10" s="136"/>
      <c r="X10" s="137"/>
    </row>
    <row r="11" spans="1:24" ht="15">
      <c r="A11" s="6" t="s">
        <v>9</v>
      </c>
      <c r="B11" s="9">
        <v>72</v>
      </c>
      <c r="C11" s="9">
        <v>14</v>
      </c>
      <c r="D11" s="9"/>
      <c r="E11" s="9"/>
      <c r="K11" s="20" t="str">
        <f>'Summary Sheet'!C11</f>
        <v>Total Area of Bedrooms (cluster &amp; studio) (non Accessible)</v>
      </c>
      <c r="L11" s="182">
        <f>(B11*C11)+(B26*C26)+(B41*C41)+(B56*C56)</f>
        <v>3836</v>
      </c>
      <c r="N11" s="141"/>
      <c r="O11" s="108"/>
      <c r="P11" s="94"/>
      <c r="Q11" s="94"/>
      <c r="R11" s="94"/>
      <c r="S11" s="94"/>
      <c r="T11" s="94"/>
      <c r="U11" s="96"/>
      <c r="V11" s="96"/>
      <c r="W11" s="136"/>
      <c r="X11" s="137"/>
    </row>
    <row r="12" spans="1:24" ht="15">
      <c r="A12" s="6" t="s">
        <v>10</v>
      </c>
      <c r="B12" s="9"/>
      <c r="C12" s="9"/>
      <c r="D12" s="9"/>
      <c r="E12" s="9"/>
      <c r="K12" s="20" t="str">
        <f>'Summary Sheet'!C12</f>
        <v>Average size of Bedroom (cluster &amp; studio) (non Accessible)</v>
      </c>
      <c r="L12" s="185">
        <f>L11/L10</f>
        <v>14</v>
      </c>
      <c r="N12" s="141"/>
      <c r="O12" s="108"/>
      <c r="P12" s="94"/>
      <c r="Q12" s="94"/>
      <c r="R12" s="94"/>
      <c r="S12" s="94"/>
      <c r="T12" s="94"/>
      <c r="U12" s="95"/>
      <c r="V12" s="96"/>
      <c r="W12" s="136"/>
      <c r="X12" s="137"/>
    </row>
    <row r="13" spans="1:24" ht="15">
      <c r="A13" s="6" t="s">
        <v>11</v>
      </c>
      <c r="B13" s="9"/>
      <c r="C13" s="9"/>
      <c r="D13" s="9"/>
      <c r="E13" s="9"/>
      <c r="K13" s="20"/>
      <c r="L13" s="185"/>
      <c r="N13" s="141"/>
      <c r="O13" s="108"/>
      <c r="P13" s="94"/>
      <c r="Q13" s="94"/>
      <c r="R13" s="94"/>
      <c r="S13" s="94"/>
      <c r="T13" s="94"/>
      <c r="U13" s="95"/>
      <c r="V13" s="96"/>
      <c r="W13" s="136"/>
      <c r="X13" s="137"/>
    </row>
    <row r="14" spans="1:24" ht="15">
      <c r="A14" s="6" t="s">
        <v>12</v>
      </c>
      <c r="B14" s="9"/>
      <c r="C14" s="9"/>
      <c r="D14" s="9"/>
      <c r="E14" s="9"/>
      <c r="K14" s="20" t="str">
        <f>'Summary Sheet'!C14</f>
        <v>Number of Cluster Bedrooms (non Accessible)</v>
      </c>
      <c r="L14" s="186">
        <f>L10</f>
        <v>274</v>
      </c>
      <c r="N14" s="141"/>
      <c r="O14" s="108"/>
      <c r="P14" s="94"/>
      <c r="Q14" s="94"/>
      <c r="R14" s="94"/>
      <c r="S14" s="94"/>
      <c r="T14" s="94"/>
      <c r="U14" s="95"/>
      <c r="V14" s="96"/>
      <c r="W14" s="136"/>
      <c r="X14" s="137"/>
    </row>
    <row r="15" spans="1:24" ht="15">
      <c r="A15" s="6" t="s">
        <v>13</v>
      </c>
      <c r="B15" s="9"/>
      <c r="C15" s="9"/>
      <c r="D15" s="9"/>
      <c r="E15" s="9"/>
      <c r="K15" s="20" t="str">
        <f>'Summary Sheet'!C15</f>
        <v>Total Area of Cluster Bedrooms (non Accessible)</v>
      </c>
      <c r="L15" s="6">
        <f>L11</f>
        <v>3836</v>
      </c>
      <c r="N15" s="141"/>
      <c r="O15" s="108"/>
      <c r="P15" s="94"/>
      <c r="Q15" s="94"/>
      <c r="R15" s="94"/>
      <c r="S15" s="94"/>
      <c r="T15" s="94"/>
      <c r="U15" s="95"/>
      <c r="V15" s="96"/>
      <c r="W15" s="136"/>
      <c r="X15" s="137"/>
    </row>
    <row r="16" spans="1:24" ht="15">
      <c r="A16" s="6" t="s">
        <v>14</v>
      </c>
      <c r="B16" s="9"/>
      <c r="C16" s="9"/>
      <c r="D16" s="9"/>
      <c r="E16" s="9"/>
      <c r="K16" s="20" t="str">
        <f>'Summary Sheet'!C16</f>
        <v>Average Size of Cluster Bedroom (non Accessible)</v>
      </c>
      <c r="L16" s="187">
        <f>L12</f>
        <v>14</v>
      </c>
      <c r="N16" s="141"/>
      <c r="O16" s="108"/>
      <c r="P16" s="94"/>
      <c r="Q16" s="94"/>
      <c r="R16" s="94"/>
      <c r="S16" s="94"/>
      <c r="T16" s="94"/>
      <c r="U16" s="95"/>
      <c r="V16" s="96"/>
      <c r="W16" s="136"/>
      <c r="X16" s="137"/>
    </row>
    <row r="17" spans="1:24" ht="15">
      <c r="A17" s="10"/>
      <c r="B17" s="6" t="s">
        <v>17</v>
      </c>
      <c r="C17" s="6" t="s">
        <v>18</v>
      </c>
      <c r="D17" s="10"/>
      <c r="E17" s="10"/>
      <c r="K17" s="20"/>
      <c r="L17" s="188"/>
      <c r="N17" s="141"/>
      <c r="O17" s="108"/>
      <c r="P17" s="94"/>
      <c r="Q17" s="94"/>
      <c r="R17" s="94"/>
      <c r="S17" s="94"/>
      <c r="T17" s="94"/>
      <c r="U17" s="95"/>
      <c r="V17" s="96"/>
      <c r="W17" s="136"/>
      <c r="X17" s="137"/>
    </row>
    <row r="18" spans="1:24" ht="15">
      <c r="A18" s="6" t="s">
        <v>16</v>
      </c>
      <c r="B18" s="9">
        <v>12</v>
      </c>
      <c r="C18" s="9">
        <v>40</v>
      </c>
      <c r="D18" s="10"/>
      <c r="E18" s="10"/>
      <c r="K18" s="20" t="str">
        <f>'Summary Sheet'!C18</f>
        <v>Number of Studio Bedspaces (non Accessible)</v>
      </c>
      <c r="L18" s="186">
        <v>0</v>
      </c>
      <c r="N18" s="141"/>
      <c r="O18" s="108"/>
      <c r="P18" s="94"/>
      <c r="Q18" s="94"/>
      <c r="R18" s="94"/>
      <c r="S18" s="94"/>
      <c r="T18" s="94"/>
      <c r="U18" s="95"/>
      <c r="V18" s="96"/>
      <c r="W18" s="136"/>
      <c r="X18" s="137"/>
    </row>
    <row r="19" spans="1:24" ht="15">
      <c r="A19" s="6" t="s">
        <v>15</v>
      </c>
      <c r="B19" s="9"/>
      <c r="C19" s="9"/>
      <c r="D19" s="10"/>
      <c r="E19" s="10"/>
      <c r="K19" s="20" t="str">
        <f>'Summary Sheet'!C19</f>
        <v>Total Area of Studio Bedspace (non Accessible)</v>
      </c>
      <c r="L19" s="186">
        <v>0</v>
      </c>
      <c r="N19" s="141"/>
      <c r="O19" s="108"/>
      <c r="P19" s="94"/>
      <c r="Q19" s="94"/>
      <c r="R19" s="94"/>
      <c r="S19" s="94"/>
      <c r="T19" s="94"/>
      <c r="U19" s="95"/>
      <c r="V19" s="96"/>
      <c r="W19" s="136"/>
      <c r="X19" s="137"/>
    </row>
    <row r="20" spans="11:24" ht="15">
      <c r="K20" s="20" t="str">
        <f>'Summary Sheet'!C20</f>
        <v>Average Size of Studio Bedspaces (non Accessible)</v>
      </c>
      <c r="L20" s="189">
        <v>0</v>
      </c>
      <c r="N20" s="141"/>
      <c r="O20" s="108"/>
      <c r="P20" s="94"/>
      <c r="Q20" s="94"/>
      <c r="R20" s="94"/>
      <c r="S20" s="94"/>
      <c r="T20" s="94"/>
      <c r="U20" s="95"/>
      <c r="V20" s="96"/>
      <c r="W20" s="136"/>
      <c r="X20" s="137"/>
    </row>
    <row r="21" spans="11:24" ht="15">
      <c r="K21" s="20"/>
      <c r="L21" s="182"/>
      <c r="N21" s="141"/>
      <c r="O21" s="108"/>
      <c r="P21" s="94"/>
      <c r="Q21" s="94"/>
      <c r="R21" s="94"/>
      <c r="S21" s="94"/>
      <c r="T21" s="94"/>
      <c r="U21" s="95"/>
      <c r="V21" s="96"/>
      <c r="W21" s="136"/>
      <c r="X21" s="137"/>
    </row>
    <row r="22" spans="1:24" ht="15">
      <c r="A22" s="28" t="s">
        <v>7</v>
      </c>
      <c r="B22" s="6" t="s">
        <v>17</v>
      </c>
      <c r="C22" s="10"/>
      <c r="D22" s="10"/>
      <c r="E22" s="10"/>
      <c r="K22" s="6" t="str">
        <f>'Summary Sheet'!C24</f>
        <v>Total Number of Bedrooms Inc Accessible</v>
      </c>
      <c r="L22" s="6">
        <f>L10+(B42*C42)</f>
        <v>596</v>
      </c>
      <c r="N22" s="141"/>
      <c r="O22" s="108"/>
      <c r="P22" s="94"/>
      <c r="Q22" s="94"/>
      <c r="R22" s="94"/>
      <c r="S22" s="94"/>
      <c r="T22" s="94"/>
      <c r="U22" s="95"/>
      <c r="V22" s="96"/>
      <c r="W22" s="136"/>
      <c r="X22" s="137"/>
    </row>
    <row r="23" spans="1:24" ht="15">
      <c r="A23" s="8" t="s">
        <v>94</v>
      </c>
      <c r="B23" s="9">
        <v>26</v>
      </c>
      <c r="C23" s="10"/>
      <c r="D23" s="10"/>
      <c r="E23" s="10"/>
      <c r="K23" s="6" t="str">
        <f>'Summary Sheet'!C26</f>
        <v>Number of Accessible Bedrooms</v>
      </c>
      <c r="L23" s="6">
        <f>B42</f>
        <v>14</v>
      </c>
      <c r="N23" s="141"/>
      <c r="O23" s="108"/>
      <c r="P23" s="94"/>
      <c r="Q23" s="94"/>
      <c r="R23" s="94"/>
      <c r="S23" s="94"/>
      <c r="T23" s="94"/>
      <c r="U23" s="95"/>
      <c r="V23" s="96"/>
      <c r="W23" s="136"/>
      <c r="X23" s="137"/>
    </row>
    <row r="24" spans="1:24" ht="15">
      <c r="A24" s="10"/>
      <c r="B24" s="6" t="s">
        <v>17</v>
      </c>
      <c r="C24" s="6" t="s">
        <v>190</v>
      </c>
      <c r="D24" s="6" t="s">
        <v>191</v>
      </c>
      <c r="E24" s="6" t="s">
        <v>34</v>
      </c>
      <c r="K24" s="198" t="str">
        <f>'Summary Sheet'!C27</f>
        <v>Average Size of Accessible Bedroom</v>
      </c>
      <c r="L24" s="199">
        <f>(B42*C42)/L23</f>
        <v>23</v>
      </c>
      <c r="N24" s="141"/>
      <c r="O24" s="108"/>
      <c r="P24" s="94"/>
      <c r="Q24" s="94"/>
      <c r="R24" s="94"/>
      <c r="S24" s="94"/>
      <c r="T24" s="94"/>
      <c r="U24" s="95"/>
      <c r="V24" s="96"/>
      <c r="W24" s="136"/>
      <c r="X24" s="137"/>
    </row>
    <row r="25" spans="1:24" ht="15">
      <c r="A25" s="6" t="s">
        <v>8</v>
      </c>
      <c r="B25" s="9">
        <v>104</v>
      </c>
      <c r="C25" s="9"/>
      <c r="D25" s="9"/>
      <c r="E25" s="9"/>
      <c r="K25" s="201"/>
      <c r="L25" s="202"/>
      <c r="N25" s="141"/>
      <c r="O25" s="108"/>
      <c r="P25" s="94"/>
      <c r="Q25" s="94"/>
      <c r="R25" s="94"/>
      <c r="S25" s="94"/>
      <c r="T25" s="94"/>
      <c r="U25" s="95"/>
      <c r="V25" s="96"/>
      <c r="W25" s="136"/>
      <c r="X25" s="137"/>
    </row>
    <row r="26" spans="1:24" ht="15">
      <c r="A26" s="6" t="s">
        <v>9</v>
      </c>
      <c r="B26" s="9">
        <v>104</v>
      </c>
      <c r="C26" s="9">
        <v>14</v>
      </c>
      <c r="D26" s="9"/>
      <c r="E26" s="9"/>
      <c r="K26" s="12"/>
      <c r="L26" s="12"/>
      <c r="N26" s="141"/>
      <c r="O26" s="108"/>
      <c r="P26" s="94"/>
      <c r="Q26" s="94"/>
      <c r="R26" s="94"/>
      <c r="S26" s="94"/>
      <c r="T26" s="94"/>
      <c r="U26" s="95"/>
      <c r="V26" s="96"/>
      <c r="W26" s="136"/>
      <c r="X26" s="137"/>
    </row>
    <row r="27" spans="1:24" ht="15">
      <c r="A27" s="6" t="s">
        <v>10</v>
      </c>
      <c r="B27" s="9"/>
      <c r="C27" s="9"/>
      <c r="D27" s="9"/>
      <c r="E27" s="9"/>
      <c r="N27" s="141"/>
      <c r="O27" s="108"/>
      <c r="P27" s="94"/>
      <c r="Q27" s="94"/>
      <c r="R27" s="94"/>
      <c r="S27" s="94"/>
      <c r="T27" s="94"/>
      <c r="U27" s="95"/>
      <c r="V27" s="96"/>
      <c r="W27" s="136"/>
      <c r="X27" s="137"/>
    </row>
    <row r="28" spans="1:24" ht="15">
      <c r="A28" s="6" t="s">
        <v>11</v>
      </c>
      <c r="B28" s="9"/>
      <c r="C28" s="9"/>
      <c r="D28" s="9"/>
      <c r="E28" s="9"/>
      <c r="N28" s="141"/>
      <c r="O28" s="108"/>
      <c r="P28" s="94"/>
      <c r="Q28" s="94"/>
      <c r="R28" s="94"/>
      <c r="S28" s="94"/>
      <c r="T28" s="94"/>
      <c r="U28" s="95"/>
      <c r="V28" s="96"/>
      <c r="W28" s="136"/>
      <c r="X28" s="137"/>
    </row>
    <row r="29" spans="1:24" ht="15">
      <c r="A29" s="6" t="s">
        <v>12</v>
      </c>
      <c r="B29" s="9"/>
      <c r="C29" s="9"/>
      <c r="D29" s="9"/>
      <c r="E29" s="9"/>
      <c r="N29" s="141"/>
      <c r="O29" s="108"/>
      <c r="P29" s="94"/>
      <c r="Q29" s="94"/>
      <c r="R29" s="94"/>
      <c r="S29" s="94"/>
      <c r="T29" s="94"/>
      <c r="U29" s="95"/>
      <c r="V29" s="96"/>
      <c r="W29" s="136"/>
      <c r="X29" s="137"/>
    </row>
    <row r="30" spans="1:24" ht="15">
      <c r="A30" s="6" t="s">
        <v>13</v>
      </c>
      <c r="B30" s="9"/>
      <c r="C30" s="9"/>
      <c r="D30" s="9"/>
      <c r="E30" s="9"/>
      <c r="N30" s="141"/>
      <c r="O30" s="108"/>
      <c r="P30" s="94"/>
      <c r="Q30" s="94"/>
      <c r="R30" s="94"/>
      <c r="S30" s="94"/>
      <c r="T30" s="94"/>
      <c r="U30" s="95"/>
      <c r="V30" s="96"/>
      <c r="W30" s="136"/>
      <c r="X30" s="137"/>
    </row>
    <row r="31" spans="1:24" ht="15">
      <c r="A31" s="6" t="s">
        <v>14</v>
      </c>
      <c r="B31" s="9"/>
      <c r="C31" s="9"/>
      <c r="D31" s="9"/>
      <c r="E31" s="9"/>
      <c r="N31" s="141"/>
      <c r="O31" s="108"/>
      <c r="P31" s="94"/>
      <c r="Q31" s="94"/>
      <c r="R31" s="94"/>
      <c r="S31" s="94"/>
      <c r="T31" s="94"/>
      <c r="U31" s="95"/>
      <c r="V31" s="96"/>
      <c r="W31" s="136"/>
      <c r="X31" s="137"/>
    </row>
    <row r="32" spans="1:24" ht="15">
      <c r="A32" s="10"/>
      <c r="B32" s="6" t="s">
        <v>17</v>
      </c>
      <c r="C32" s="6" t="s">
        <v>18</v>
      </c>
      <c r="D32" s="10"/>
      <c r="E32" s="10"/>
      <c r="N32" s="141"/>
      <c r="O32" s="108"/>
      <c r="P32" s="94"/>
      <c r="Q32" s="94"/>
      <c r="R32" s="94"/>
      <c r="S32" s="94"/>
      <c r="T32" s="94"/>
      <c r="U32" s="95"/>
      <c r="V32" s="96"/>
      <c r="W32" s="136"/>
      <c r="X32" s="137"/>
    </row>
    <row r="33" spans="1:24" ht="15">
      <c r="A33" s="6" t="s">
        <v>16</v>
      </c>
      <c r="B33" s="9">
        <v>26</v>
      </c>
      <c r="C33" s="9">
        <v>27</v>
      </c>
      <c r="D33" s="10"/>
      <c r="E33" s="10"/>
      <c r="N33" s="141"/>
      <c r="O33" s="108"/>
      <c r="P33" s="94"/>
      <c r="Q33" s="94"/>
      <c r="R33" s="94"/>
      <c r="S33" s="94"/>
      <c r="T33" s="94"/>
      <c r="U33" s="95"/>
      <c r="V33" s="96"/>
      <c r="W33" s="136"/>
      <c r="X33" s="137"/>
    </row>
    <row r="34" spans="1:24" ht="15">
      <c r="A34" s="6" t="s">
        <v>15</v>
      </c>
      <c r="B34" s="9"/>
      <c r="C34" s="9"/>
      <c r="D34" s="10"/>
      <c r="E34" s="10"/>
      <c r="N34" s="141"/>
      <c r="O34" s="108"/>
      <c r="P34" s="94"/>
      <c r="Q34" s="94"/>
      <c r="R34" s="94"/>
      <c r="S34" s="94"/>
      <c r="T34" s="94"/>
      <c r="U34" s="95"/>
      <c r="V34" s="96"/>
      <c r="W34" s="136"/>
      <c r="X34" s="137"/>
    </row>
    <row r="35" spans="14:24" ht="15.75" thickBot="1">
      <c r="N35" s="144"/>
      <c r="O35" s="125"/>
      <c r="P35" s="97"/>
      <c r="Q35" s="97"/>
      <c r="R35" s="97"/>
      <c r="S35" s="97"/>
      <c r="T35" s="97"/>
      <c r="U35" s="116"/>
      <c r="V35" s="117"/>
      <c r="W35" s="138"/>
      <c r="X35" s="139"/>
    </row>
    <row r="36" ht="15.75" thickBot="1"/>
    <row r="37" spans="1:24" ht="15">
      <c r="A37" s="28" t="s">
        <v>7</v>
      </c>
      <c r="B37" s="6" t="s">
        <v>17</v>
      </c>
      <c r="C37" s="10"/>
      <c r="D37" s="10"/>
      <c r="E37" s="10"/>
      <c r="N37" s="131">
        <f>'Summary Sheet'!D34</f>
        <v>3</v>
      </c>
      <c r="O37" s="128"/>
      <c r="P37" s="145">
        <f>SUMIF($O$3:$O$35,$N37,P$3:P$35)</f>
        <v>0</v>
      </c>
      <c r="Q37" s="145">
        <f>SUMIF($O$3:$O$35,$N37,Q$3:Q$35)</f>
        <v>0</v>
      </c>
      <c r="R37" s="145">
        <f aca="true" t="shared" si="0" ref="R37:V44">SUMIF($O$3:$O$35,$N37,R$3:R$35)</f>
        <v>0</v>
      </c>
      <c r="S37" s="145">
        <f t="shared" si="0"/>
        <v>0</v>
      </c>
      <c r="T37" s="145">
        <f t="shared" si="0"/>
        <v>0</v>
      </c>
      <c r="U37" s="145">
        <f t="shared" si="0"/>
        <v>0</v>
      </c>
      <c r="V37" s="146">
        <f t="shared" si="0"/>
        <v>0</v>
      </c>
      <c r="W37" s="147">
        <f>_xlfn.IFERROR(V37/P37,"")</f>
      </c>
      <c r="X37" s="148">
        <f>_xlfn.IFERROR(V37/U37,"")</f>
      </c>
    </row>
    <row r="38" spans="1:24" ht="15">
      <c r="A38" s="8" t="s">
        <v>95</v>
      </c>
      <c r="B38" s="9">
        <v>14</v>
      </c>
      <c r="C38" s="10"/>
      <c r="D38" s="10"/>
      <c r="E38" s="10"/>
      <c r="N38" s="132">
        <f>'Summary Sheet'!D35</f>
        <v>4</v>
      </c>
      <c r="O38" s="129"/>
      <c r="P38" s="96">
        <f>SUMIF($O$3:O36,N38,$P$3:$P$35)</f>
        <v>216</v>
      </c>
      <c r="Q38" s="96">
        <f aca="true" t="shared" si="1" ref="Q38:Q44">SUMIF($O$3:$O$35,$N38,Q$3:Q$35)</f>
        <v>54</v>
      </c>
      <c r="R38" s="96">
        <f t="shared" si="0"/>
        <v>54</v>
      </c>
      <c r="S38" s="96">
        <f t="shared" si="0"/>
        <v>80</v>
      </c>
      <c r="T38" s="96">
        <f t="shared" si="0"/>
        <v>14</v>
      </c>
      <c r="U38" s="96">
        <f t="shared" si="0"/>
        <v>202</v>
      </c>
      <c r="V38" s="149">
        <f t="shared" si="0"/>
        <v>1444</v>
      </c>
      <c r="W38" s="150">
        <f aca="true" t="shared" si="2" ref="W38:W44">_xlfn.IFERROR(V38/P38,"")</f>
        <v>6.685185185185185</v>
      </c>
      <c r="X38" s="137">
        <f aca="true" t="shared" si="3" ref="X38:X44">_xlfn.IFERROR(V38/U38,"")</f>
        <v>7.148514851485149</v>
      </c>
    </row>
    <row r="39" spans="1:24" ht="15">
      <c r="A39" s="10"/>
      <c r="B39" s="6" t="s">
        <v>17</v>
      </c>
      <c r="C39" s="6" t="s">
        <v>190</v>
      </c>
      <c r="D39" s="6" t="s">
        <v>191</v>
      </c>
      <c r="E39" s="6" t="s">
        <v>34</v>
      </c>
      <c r="N39" s="132">
        <f>'Summary Sheet'!D36</f>
        <v>5</v>
      </c>
      <c r="O39" s="129"/>
      <c r="P39" s="96">
        <f>SUMIF($O$3:O37,N39,$P$3:$P$35)</f>
        <v>0</v>
      </c>
      <c r="Q39" s="96">
        <f t="shared" si="1"/>
        <v>0</v>
      </c>
      <c r="R39" s="96">
        <f t="shared" si="0"/>
        <v>0</v>
      </c>
      <c r="S39" s="96">
        <f t="shared" si="0"/>
        <v>0</v>
      </c>
      <c r="T39" s="96">
        <f t="shared" si="0"/>
        <v>0</v>
      </c>
      <c r="U39" s="96">
        <f t="shared" si="0"/>
        <v>0</v>
      </c>
      <c r="V39" s="149">
        <f t="shared" si="0"/>
        <v>0</v>
      </c>
      <c r="W39" s="150">
        <f t="shared" si="2"/>
      </c>
      <c r="X39" s="137">
        <f t="shared" si="3"/>
      </c>
    </row>
    <row r="40" spans="1:24" ht="15">
      <c r="A40" s="6" t="s">
        <v>8</v>
      </c>
      <c r="B40" s="9">
        <v>56</v>
      </c>
      <c r="C40" s="9"/>
      <c r="D40" s="9"/>
      <c r="E40" s="9"/>
      <c r="N40" s="132">
        <f>'Summary Sheet'!D37</f>
        <v>6</v>
      </c>
      <c r="O40" s="129"/>
      <c r="P40" s="96">
        <f>SUMIF($O$3:O38,N40,$P$3:$P$35)</f>
        <v>72</v>
      </c>
      <c r="Q40" s="96">
        <f t="shared" si="1"/>
        <v>12</v>
      </c>
      <c r="R40" s="96">
        <f t="shared" si="0"/>
        <v>12</v>
      </c>
      <c r="S40" s="96">
        <f t="shared" si="0"/>
        <v>40</v>
      </c>
      <c r="T40" s="96">
        <f t="shared" si="0"/>
        <v>0</v>
      </c>
      <c r="U40" s="96">
        <f t="shared" si="0"/>
        <v>72</v>
      </c>
      <c r="V40" s="149">
        <f t="shared" si="0"/>
        <v>480</v>
      </c>
      <c r="W40" s="150">
        <f t="shared" si="2"/>
        <v>6.666666666666667</v>
      </c>
      <c r="X40" s="137">
        <f t="shared" si="3"/>
        <v>6.666666666666667</v>
      </c>
    </row>
    <row r="41" spans="1:24" ht="15">
      <c r="A41" s="6" t="s">
        <v>9</v>
      </c>
      <c r="B41" s="9">
        <v>42</v>
      </c>
      <c r="C41" s="9">
        <v>14</v>
      </c>
      <c r="D41" s="9"/>
      <c r="E41" s="9"/>
      <c r="N41" s="132">
        <f>'Summary Sheet'!D38</f>
        <v>7</v>
      </c>
      <c r="O41" s="129"/>
      <c r="P41" s="96">
        <f>SUMIF($O$3:O39,N41,$P$3:$P$35)</f>
        <v>0</v>
      </c>
      <c r="Q41" s="96">
        <f t="shared" si="1"/>
        <v>0</v>
      </c>
      <c r="R41" s="96">
        <f t="shared" si="0"/>
        <v>0</v>
      </c>
      <c r="S41" s="96">
        <f t="shared" si="0"/>
        <v>0</v>
      </c>
      <c r="T41" s="96">
        <f t="shared" si="0"/>
        <v>0</v>
      </c>
      <c r="U41" s="96">
        <f t="shared" si="0"/>
        <v>0</v>
      </c>
      <c r="V41" s="149">
        <f t="shared" si="0"/>
        <v>0</v>
      </c>
      <c r="W41" s="150">
        <f t="shared" si="2"/>
      </c>
      <c r="X41" s="137">
        <f t="shared" si="3"/>
      </c>
    </row>
    <row r="42" spans="1:24" ht="15">
      <c r="A42" s="6" t="s">
        <v>10</v>
      </c>
      <c r="B42" s="9">
        <v>14</v>
      </c>
      <c r="C42" s="9">
        <v>23</v>
      </c>
      <c r="D42" s="9"/>
      <c r="E42" s="9" t="s">
        <v>35</v>
      </c>
      <c r="N42" s="132">
        <f>'Summary Sheet'!D39</f>
        <v>8</v>
      </c>
      <c r="O42" s="129"/>
      <c r="P42" s="96">
        <f>SUMIF($O$3:O40,N42,$P$3:$P$35)</f>
        <v>0</v>
      </c>
      <c r="Q42" s="96">
        <f t="shared" si="1"/>
        <v>0</v>
      </c>
      <c r="R42" s="96">
        <f t="shared" si="0"/>
        <v>0</v>
      </c>
      <c r="S42" s="96">
        <f t="shared" si="0"/>
        <v>0</v>
      </c>
      <c r="T42" s="96">
        <f t="shared" si="0"/>
        <v>0</v>
      </c>
      <c r="U42" s="96">
        <f t="shared" si="0"/>
        <v>0</v>
      </c>
      <c r="V42" s="149">
        <f t="shared" si="0"/>
        <v>0</v>
      </c>
      <c r="W42" s="150">
        <f t="shared" si="2"/>
      </c>
      <c r="X42" s="137">
        <f t="shared" si="3"/>
      </c>
    </row>
    <row r="43" spans="1:24" ht="15">
      <c r="A43" s="6" t="s">
        <v>11</v>
      </c>
      <c r="B43" s="9"/>
      <c r="C43" s="9"/>
      <c r="D43" s="9"/>
      <c r="E43" s="9"/>
      <c r="N43" s="132">
        <f>'Summary Sheet'!D40</f>
        <v>9</v>
      </c>
      <c r="O43" s="129"/>
      <c r="P43" s="96">
        <f>SUMIF($O$3:O41,N43,$P$3:$P$35)</f>
        <v>0</v>
      </c>
      <c r="Q43" s="96">
        <f t="shared" si="1"/>
        <v>0</v>
      </c>
      <c r="R43" s="96">
        <f t="shared" si="0"/>
        <v>0</v>
      </c>
      <c r="S43" s="96">
        <f t="shared" si="0"/>
        <v>0</v>
      </c>
      <c r="T43" s="96">
        <f t="shared" si="0"/>
        <v>0</v>
      </c>
      <c r="U43" s="96">
        <f t="shared" si="0"/>
        <v>0</v>
      </c>
      <c r="V43" s="149">
        <f t="shared" si="0"/>
        <v>0</v>
      </c>
      <c r="W43" s="150">
        <f t="shared" si="2"/>
      </c>
      <c r="X43" s="137">
        <f t="shared" si="3"/>
      </c>
    </row>
    <row r="44" spans="1:24" ht="15.75" thickBot="1">
      <c r="A44" s="6" t="s">
        <v>12</v>
      </c>
      <c r="B44" s="9"/>
      <c r="C44" s="9"/>
      <c r="D44" s="9"/>
      <c r="E44" s="9"/>
      <c r="N44" s="133">
        <f>'Summary Sheet'!D41</f>
        <v>10</v>
      </c>
      <c r="O44" s="130"/>
      <c r="P44" s="117">
        <f>SUMIF($O$3:O42,N44,$P$3:$P$35)</f>
        <v>0</v>
      </c>
      <c r="Q44" s="117">
        <f t="shared" si="1"/>
        <v>0</v>
      </c>
      <c r="R44" s="117">
        <f t="shared" si="0"/>
        <v>0</v>
      </c>
      <c r="S44" s="117">
        <f t="shared" si="0"/>
        <v>0</v>
      </c>
      <c r="T44" s="117">
        <f t="shared" si="0"/>
        <v>0</v>
      </c>
      <c r="U44" s="117">
        <f t="shared" si="0"/>
        <v>0</v>
      </c>
      <c r="V44" s="151">
        <f t="shared" si="0"/>
        <v>0</v>
      </c>
      <c r="W44" s="152">
        <f t="shared" si="2"/>
      </c>
      <c r="X44" s="139">
        <f t="shared" si="3"/>
      </c>
    </row>
    <row r="45" spans="1:5" ht="15">
      <c r="A45" s="6" t="s">
        <v>13</v>
      </c>
      <c r="B45" s="9"/>
      <c r="C45" s="9"/>
      <c r="D45" s="9"/>
      <c r="E45" s="9"/>
    </row>
    <row r="46" spans="1:5" ht="15">
      <c r="A46" s="6" t="s">
        <v>14</v>
      </c>
      <c r="B46" s="9"/>
      <c r="C46" s="9"/>
      <c r="D46" s="9"/>
      <c r="E46" s="9"/>
    </row>
    <row r="47" spans="1:5" ht="15">
      <c r="A47" s="10"/>
      <c r="B47" s="6" t="s">
        <v>17</v>
      </c>
      <c r="C47" s="6" t="s">
        <v>18</v>
      </c>
      <c r="D47" s="10"/>
      <c r="E47" s="10"/>
    </row>
    <row r="48" spans="1:5" ht="15">
      <c r="A48" s="6" t="s">
        <v>16</v>
      </c>
      <c r="B48" s="9">
        <v>14</v>
      </c>
      <c r="C48" s="9">
        <v>25</v>
      </c>
      <c r="D48" s="10"/>
      <c r="E48" s="10"/>
    </row>
    <row r="49" spans="1:5" ht="15">
      <c r="A49" s="6" t="s">
        <v>15</v>
      </c>
      <c r="B49" s="9"/>
      <c r="C49" s="9"/>
      <c r="D49" s="10"/>
      <c r="E49" s="10"/>
    </row>
    <row r="52" spans="1:5" ht="15">
      <c r="A52" s="28" t="s">
        <v>7</v>
      </c>
      <c r="B52" s="6" t="s">
        <v>17</v>
      </c>
      <c r="C52" s="10"/>
      <c r="D52" s="10"/>
      <c r="E52" s="10"/>
    </row>
    <row r="53" spans="1:5" ht="15">
      <c r="A53" s="8" t="s">
        <v>96</v>
      </c>
      <c r="B53" s="9">
        <v>14</v>
      </c>
      <c r="C53" s="10"/>
      <c r="D53" s="10"/>
      <c r="E53" s="10"/>
    </row>
    <row r="54" spans="1:5" ht="15">
      <c r="A54" s="10"/>
      <c r="B54" s="6" t="s">
        <v>17</v>
      </c>
      <c r="C54" s="6" t="s">
        <v>190</v>
      </c>
      <c r="D54" s="6" t="s">
        <v>191</v>
      </c>
      <c r="E54" s="6" t="s">
        <v>34</v>
      </c>
    </row>
    <row r="55" spans="1:5" ht="15">
      <c r="A55" s="6" t="s">
        <v>8</v>
      </c>
      <c r="B55" s="9">
        <v>56</v>
      </c>
      <c r="C55" s="9"/>
      <c r="D55" s="9"/>
      <c r="E55" s="9"/>
    </row>
    <row r="56" spans="1:5" ht="15">
      <c r="A56" s="6" t="s">
        <v>9</v>
      </c>
      <c r="B56" s="9">
        <v>56</v>
      </c>
      <c r="C56" s="9">
        <v>14</v>
      </c>
      <c r="D56" s="9"/>
      <c r="E56" s="9"/>
    </row>
    <row r="57" spans="1:5" ht="15">
      <c r="A57" s="6" t="s">
        <v>10</v>
      </c>
      <c r="B57" s="9"/>
      <c r="C57" s="9"/>
      <c r="D57" s="9"/>
      <c r="E57" s="9"/>
    </row>
    <row r="58" spans="1:5" ht="15">
      <c r="A58" s="6" t="s">
        <v>11</v>
      </c>
      <c r="B58" s="9"/>
      <c r="C58" s="9"/>
      <c r="D58" s="9"/>
      <c r="E58" s="9"/>
    </row>
    <row r="59" spans="1:5" ht="15">
      <c r="A59" s="6" t="s">
        <v>12</v>
      </c>
      <c r="B59" s="9"/>
      <c r="C59" s="9"/>
      <c r="D59" s="9"/>
      <c r="E59" s="9"/>
    </row>
    <row r="60" spans="1:5" ht="15">
      <c r="A60" s="6" t="s">
        <v>13</v>
      </c>
      <c r="B60" s="9"/>
      <c r="C60" s="9"/>
      <c r="D60" s="9"/>
      <c r="E60" s="9"/>
    </row>
    <row r="61" spans="1:5" ht="15">
      <c r="A61" s="6" t="s">
        <v>14</v>
      </c>
      <c r="B61" s="9"/>
      <c r="C61" s="9"/>
      <c r="D61" s="9"/>
      <c r="E61" s="9"/>
    </row>
    <row r="62" spans="1:5" ht="15">
      <c r="A62" s="10"/>
      <c r="B62" s="6" t="s">
        <v>17</v>
      </c>
      <c r="C62" s="6" t="s">
        <v>18</v>
      </c>
      <c r="D62" s="10"/>
      <c r="E62" s="10"/>
    </row>
    <row r="63" spans="1:5" ht="15">
      <c r="A63" s="6" t="s">
        <v>16</v>
      </c>
      <c r="B63" s="9">
        <v>14</v>
      </c>
      <c r="C63" s="9">
        <v>28</v>
      </c>
      <c r="D63" s="10"/>
      <c r="E63" s="10"/>
    </row>
    <row r="64" spans="1:5" ht="15">
      <c r="A64" s="6" t="s">
        <v>15</v>
      </c>
      <c r="B64" s="9"/>
      <c r="C64" s="9"/>
      <c r="D64" s="10"/>
      <c r="E64" s="10"/>
    </row>
    <row r="67" spans="1:5" ht="15">
      <c r="A67" s="16"/>
      <c r="B67" s="15"/>
      <c r="C67" s="3"/>
      <c r="D67" s="3"/>
      <c r="E67" s="3"/>
    </row>
    <row r="68" spans="1:5" ht="15">
      <c r="A68" s="17"/>
      <c r="B68" s="18"/>
      <c r="C68" s="3"/>
      <c r="D68" s="3"/>
      <c r="E68" s="3"/>
    </row>
    <row r="69" spans="1:5" ht="15">
      <c r="A69" s="3"/>
      <c r="B69" s="15"/>
      <c r="C69" s="15"/>
      <c r="D69" s="15"/>
      <c r="E69" s="15"/>
    </row>
    <row r="70" spans="1:5" ht="15">
      <c r="A70" s="15"/>
      <c r="B70" s="18"/>
      <c r="C70" s="18"/>
      <c r="D70" s="18"/>
      <c r="E70" s="18"/>
    </row>
    <row r="71" spans="1:5" ht="15">
      <c r="A71" s="15"/>
      <c r="B71" s="18"/>
      <c r="C71" s="18"/>
      <c r="D71" s="18"/>
      <c r="E71" s="18"/>
    </row>
    <row r="72" spans="1:5" ht="15">
      <c r="A72" s="15"/>
      <c r="B72" s="18"/>
      <c r="C72" s="18"/>
      <c r="D72" s="18"/>
      <c r="E72" s="18"/>
    </row>
    <row r="73" spans="1:5" ht="15">
      <c r="A73" s="15"/>
      <c r="B73" s="18"/>
      <c r="C73" s="18"/>
      <c r="D73" s="18"/>
      <c r="E73" s="18"/>
    </row>
    <row r="74" spans="1:5" ht="15">
      <c r="A74" s="15"/>
      <c r="B74" s="18"/>
      <c r="C74" s="18"/>
      <c r="D74" s="18"/>
      <c r="E74" s="18"/>
    </row>
    <row r="75" spans="1:5" ht="15">
      <c r="A75" s="15"/>
      <c r="B75" s="18"/>
      <c r="C75" s="18"/>
      <c r="D75" s="18"/>
      <c r="E75" s="18"/>
    </row>
    <row r="76" spans="1:5" ht="15">
      <c r="A76" s="15"/>
      <c r="B76" s="18"/>
      <c r="C76" s="18"/>
      <c r="D76" s="18"/>
      <c r="E76" s="18"/>
    </row>
    <row r="77" spans="1:5" ht="15">
      <c r="A77" s="3"/>
      <c r="B77" s="15"/>
      <c r="C77" s="15"/>
      <c r="D77" s="3"/>
      <c r="E77" s="3"/>
    </row>
    <row r="78" spans="1:5" ht="15">
      <c r="A78" s="15"/>
      <c r="B78" s="18"/>
      <c r="C78" s="18"/>
      <c r="D78" s="3"/>
      <c r="E78" s="3"/>
    </row>
    <row r="79" spans="1:5" ht="15">
      <c r="A79" s="15"/>
      <c r="B79" s="18"/>
      <c r="C79" s="18"/>
      <c r="D79" s="3"/>
      <c r="E79" s="3"/>
    </row>
    <row r="80" spans="1:5" ht="15">
      <c r="A80" s="2"/>
      <c r="B80" s="2"/>
      <c r="C80" s="2"/>
      <c r="D80" s="2"/>
      <c r="E80" s="2"/>
    </row>
    <row r="81" spans="1:5" ht="15">
      <c r="A81" s="2"/>
      <c r="B81" s="2"/>
      <c r="C81" s="2"/>
      <c r="D81" s="2"/>
      <c r="E81" s="2"/>
    </row>
    <row r="82" spans="1:5" ht="15">
      <c r="A82" s="16"/>
      <c r="B82" s="15"/>
      <c r="C82" s="3"/>
      <c r="D82" s="3"/>
      <c r="E82" s="3"/>
    </row>
    <row r="83" spans="1:5" ht="15">
      <c r="A83" s="17"/>
      <c r="B83" s="18"/>
      <c r="C83" s="3"/>
      <c r="D83" s="3"/>
      <c r="E83" s="3"/>
    </row>
    <row r="84" spans="1:5" ht="15">
      <c r="A84" s="3"/>
      <c r="B84" s="15"/>
      <c r="C84" s="15"/>
      <c r="D84" s="15"/>
      <c r="E84" s="15"/>
    </row>
    <row r="85" spans="1:5" ht="15">
      <c r="A85" s="15"/>
      <c r="B85" s="18"/>
      <c r="C85" s="18"/>
      <c r="D85" s="18"/>
      <c r="E85" s="18"/>
    </row>
    <row r="86" spans="1:5" ht="15">
      <c r="A86" s="15"/>
      <c r="B86" s="18"/>
      <c r="C86" s="18"/>
      <c r="D86" s="18"/>
      <c r="E86" s="18"/>
    </row>
    <row r="87" spans="1:5" ht="15">
      <c r="A87" s="15"/>
      <c r="B87" s="18"/>
      <c r="C87" s="18"/>
      <c r="D87" s="18"/>
      <c r="E87" s="18"/>
    </row>
    <row r="88" spans="1:5" ht="15">
      <c r="A88" s="15"/>
      <c r="B88" s="18"/>
      <c r="C88" s="18"/>
      <c r="D88" s="18"/>
      <c r="E88" s="18"/>
    </row>
    <row r="89" spans="1:5" ht="15">
      <c r="A89" s="15"/>
      <c r="B89" s="18"/>
      <c r="C89" s="18"/>
      <c r="D89" s="18"/>
      <c r="E89" s="18"/>
    </row>
    <row r="90" spans="1:5" ht="15">
      <c r="A90" s="15"/>
      <c r="B90" s="18"/>
      <c r="C90" s="18"/>
      <c r="D90" s="18"/>
      <c r="E90" s="18"/>
    </row>
    <row r="91" spans="1:5" ht="15">
      <c r="A91" s="15"/>
      <c r="B91" s="18"/>
      <c r="C91" s="18"/>
      <c r="D91" s="18"/>
      <c r="E91" s="18"/>
    </row>
    <row r="92" spans="1:5" ht="15">
      <c r="A92" s="3"/>
      <c r="B92" s="15"/>
      <c r="C92" s="15"/>
      <c r="D92" s="3"/>
      <c r="E92" s="3"/>
    </row>
    <row r="93" spans="1:5" ht="15">
      <c r="A93" s="15"/>
      <c r="B93" s="18"/>
      <c r="C93" s="18"/>
      <c r="D93" s="3"/>
      <c r="E93" s="3"/>
    </row>
    <row r="94" spans="1:5" ht="15">
      <c r="A94" s="15"/>
      <c r="B94" s="18"/>
      <c r="C94" s="18"/>
      <c r="D94" s="3"/>
      <c r="E94" s="3"/>
    </row>
    <row r="95" spans="1:5" ht="15">
      <c r="A95" s="2"/>
      <c r="B95" s="2"/>
      <c r="C95" s="2"/>
      <c r="D95" s="2"/>
      <c r="E95" s="2"/>
    </row>
    <row r="96" spans="1:5" ht="15">
      <c r="A96" s="2"/>
      <c r="B96" s="2"/>
      <c r="C96" s="2"/>
      <c r="D96" s="2"/>
      <c r="E96" s="2"/>
    </row>
  </sheetData>
  <sheetProtection/>
  <printOptions/>
  <pageMargins left="0.7086614173228347" right="0.7086614173228347" top="0.7480314960629921" bottom="0.7480314960629921" header="0.31496062992125984" footer="0.31496062992125984"/>
  <pageSetup horizontalDpi="600" verticalDpi="600" orientation="landscape" paperSize="9" scale="75" r:id="rId1"/>
  <rowBreaks count="1" manualBreakCount="1">
    <brk id="36" max="255" man="1"/>
  </rowBreaks>
  <colBreaks count="2" manualBreakCount="2">
    <brk id="8"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Leeds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Coghlan, Robin</dc:creator>
  <cp:keywords/>
  <dc:description/>
  <cp:lastModifiedBy>Miladinovic, Abbie</cp:lastModifiedBy>
  <cp:lastPrinted>2020-12-01T12:20:12Z</cp:lastPrinted>
  <dcterms:created xsi:type="dcterms:W3CDTF">2018-09-10T14:12:11Z</dcterms:created>
  <dcterms:modified xsi:type="dcterms:W3CDTF">2021-01-18T13:16:06Z</dcterms:modified>
  <cp:category/>
  <cp:version/>
  <cp:contentType/>
  <cp:contentStatus/>
</cp:coreProperties>
</file>